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praças pedra redonda e riacho comprido e terra preta\planilha\"/>
    </mc:Choice>
  </mc:AlternateContent>
  <xr:revisionPtr revIDLastSave="0" documentId="13_ncr:1_{9A890B0E-016C-4303-AACA-BBD0E64E7B4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lanilha Orçamentária" sheetId="14" r:id="rId1"/>
    <sheet name="CRON" sheetId="13" r:id="rId2"/>
    <sheet name="Memoria de Calculo c" sheetId="11" r:id="rId3"/>
    <sheet name="COMPOSIÇÃO" sheetId="12" r:id="rId4"/>
    <sheet name="BDI" sheetId="10" r:id="rId5"/>
    <sheet name="CALCULO CALÇAMENTO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sub1" localSheetId="3">#REF!</definedName>
    <definedName name="___sub1" localSheetId="1">#REF!</definedName>
    <definedName name="___sub1">#REF!</definedName>
    <definedName name="___sub2" localSheetId="3">#REF!</definedName>
    <definedName name="___sub2" localSheetId="1">#REF!</definedName>
    <definedName name="___sub2">#REF!</definedName>
    <definedName name="___sub3" localSheetId="3">#REF!</definedName>
    <definedName name="___sub3" localSheetId="1">#REF!</definedName>
    <definedName name="___sub3">#REF!</definedName>
    <definedName name="_xlnm._FilterDatabase" localSheetId="1" hidden="1">CRON!$B$8:$K$8</definedName>
    <definedName name="_sub1" localSheetId="1">#REF!</definedName>
    <definedName name="_sub1">#REF!</definedName>
    <definedName name="_sub2" localSheetId="1">#REF!</definedName>
    <definedName name="_sub2">#REF!</definedName>
    <definedName name="_sub3" localSheetId="1">#REF!</definedName>
    <definedName name="_sub3">#REF!</definedName>
    <definedName name="a">#REF!</definedName>
    <definedName name="AA" localSheetId="3" hidden="1">{#N/A,#N/A,FALSE,"ALVENARIA";#N/A,#N/A,FALSE,"BLOCOS";#N/A,#N/A,FALSE,"CINTAS";#N/A,#N/A,FALSE,"CORTINA";#N/A,#N/A,FALSE,"LAJES";#N/A,#N/A,FALSE,"PILARES";#N/A,#N/A,FALSE,"VIGAS"}</definedName>
    <definedName name="AA" localSheetId="1" hidden="1">{#N/A,#N/A,FALSE,"ALVENARIA";#N/A,#N/A,FALSE,"BLOCOS";#N/A,#N/A,FALSE,"CINTAS";#N/A,#N/A,FALSE,"CORTINA";#N/A,#N/A,FALSE,"LAJES";#N/A,#N/A,FALSE,"PILARES";#N/A,#N/A,FALSE,"VIGAS"}</definedName>
    <definedName name="AA" hidden="1">{#N/A,#N/A,FALSE,"ALVENARIA";#N/A,#N/A,FALSE,"BLOCOS";#N/A,#N/A,FALSE,"CINTAS";#N/A,#N/A,FALSE,"CORTINA";#N/A,#N/A,FALSE,"LAJES";#N/A,#N/A,FALSE,"PILARES";#N/A,#N/A,FALSE,"VIGAS"}</definedName>
    <definedName name="ACOMPANHAMENTO" hidden="1">IF(VALUE([1]MENU!$O$4)=2,"BM","PLE")</definedName>
    <definedName name="and" localSheetId="3">#REF!</definedName>
    <definedName name="and" localSheetId="1">#REF!</definedName>
    <definedName name="and">#REF!</definedName>
    <definedName name="AREA" localSheetId="3">#REF!</definedName>
    <definedName name="AREA" localSheetId="1">#REF!</definedName>
    <definedName name="AREA">#REF!</definedName>
    <definedName name="_xlnm.Print_Area" localSheetId="4">BDI!$C$4:$M$61</definedName>
    <definedName name="_xlnm.Print_Area" localSheetId="5">'CALCULO CALÇAMENTO'!$A$1:$I$41</definedName>
    <definedName name="_xlnm.Print_Area" localSheetId="3">COMPOSIÇÃO!$B$2:$H$34</definedName>
    <definedName name="_xlnm.Print_Area" localSheetId="1">CRON!$B$1:$I$61</definedName>
    <definedName name="_xlnm.Print_Area" localSheetId="2">'Memoria de Calculo c'!$A$1:$H$175</definedName>
    <definedName name="_xlnm.Print_Area" localSheetId="0">'Planilha Orçamentária'!$A$1:$I$180</definedName>
    <definedName name="AUTOEVENTO" hidden="1">[1]CÁLCULO!$A$12</definedName>
    <definedName name="AUX" localSheetId="3">#REF!</definedName>
    <definedName name="AUX" localSheetId="1">#REF!</definedName>
    <definedName name="AUX">#REF!</definedName>
    <definedName name="B" localSheetId="3">#REF!</definedName>
    <definedName name="B" localSheetId="1">#REF!</definedName>
    <definedName name="B">#REF!</definedName>
    <definedName name="_xlnm.Database">TEXT([2]Dados!$G$29,"mm-aaaa")</definedName>
    <definedName name="Base">[3]Base!$C$4:$K$1374</definedName>
    <definedName name="BaseDados">[3]Base!$C$4:$E$1374</definedName>
    <definedName name="BDI" localSheetId="3">#REF!</definedName>
    <definedName name="BDI" localSheetId="1">#REF!</definedName>
    <definedName name="BDI">#REF!</definedName>
    <definedName name="BDI.Filtro" localSheetId="3" hidden="1">#REF!</definedName>
    <definedName name="BDI.Filtro" localSheetId="1" hidden="1">#REF!</definedName>
    <definedName name="BDI.Filtro" hidden="1">#REF!</definedName>
    <definedName name="BDI.Opcao" localSheetId="3" hidden="1">[4]DADOS!$F$18</definedName>
    <definedName name="BDI.Opcao" hidden="1">[1]DADOS!$F$18</definedName>
    <definedName name="BDI.TipoObra" localSheetId="3" hidden="1">[4]BDI!$A$138:$A$146</definedName>
    <definedName name="BDI.TipoObra" localSheetId="1" hidden="1">#REF!</definedName>
    <definedName name="BDI.TipoObra" hidden="1">#REF!</definedName>
    <definedName name="BM.AFAcumulado" hidden="1">[1]BM!$R1</definedName>
    <definedName name="BM.AFAnterior" hidden="1">[1]BM!$Q1</definedName>
    <definedName name="BM.MaxMed" localSheetId="3" hidden="1">IF(COMPOSIÇÃO!RegimeExecucao="Global",1,[1]BM!$G1)</definedName>
    <definedName name="BM.MaxMed" localSheetId="1" hidden="1">IF(CRON!RegimeExecucao="Global",1,[1]BM!$G1)</definedName>
    <definedName name="BM.MaxMed" hidden="1">IF(RegimeExecucao="Global",1,[1]BM!$G1)</definedName>
    <definedName name="BM.MEDAcumulado" localSheetId="3" hidden="1">IF(COUNTIF([1]BM!$AB$13:$AM$13,BM.medicao)&gt;0,SUM(OFFSET([1]BM!$AB1,0,0,1,MATCH(BM.medicao,[1]BM!$AB$13:$AM$13,0))),0)</definedName>
    <definedName name="BM.MEDAcumulado" localSheetId="1" hidden="1">IF(COUNTIF([1]BM!$AB$13:$AM$13,BM.medicao)&gt;0,SUM(OFFSET([1]BM!$AB1,0,0,1,MATCH(BM.medicao,[1]BM!$AB$13:$AM$13,0))),0)</definedName>
    <definedName name="BM.MEDAcumulado" hidden="1">IF(COUNTIF([1]BM!$AB$13:$AM$13,BM.medicao)&gt;0,SUM(OFFSET([1]BM!$AB1,0,0,1,MATCH(BM.medicao,[1]BM!$AB$13:$AM$13,0))),0)</definedName>
    <definedName name="BM.MEDAnterior" localSheetId="3" hidden="1">IF(COUNTIF([1]BM!$AB$13:$AM$13,BM.medicao-1)&gt;0,SUM(OFFSET([1]BM!$AB1,0,0,1,MATCH(BM.medicao-1,[1]BM!$AB$13:$AM$13,0))),0)</definedName>
    <definedName name="BM.MEDAnterior" localSheetId="1" hidden="1">IF(COUNTIF([1]BM!$AB$13:$AM$13,BM.medicao-1)&gt;0,SUM(OFFSET([1]BM!$AB1,0,0,1,MATCH(BM.medicao-1,[1]BM!$AB$13:$AM$13,0))),0)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localSheetId="3" hidden="1">IF(COMPOSIÇÃO!RegimeExecucao="Global",-1,-[1]BM!$G1)</definedName>
    <definedName name="BM.MinMed" localSheetId="1" hidden="1">IF(CRON!RegimeExecucao="Global",-1,-[1]BM!$G1)</definedName>
    <definedName name="BM.MinMed" hidden="1">IF(RegimeExecucao="Global",-1,-[1]BM!$G1)</definedName>
    <definedName name="CAIXA.Modo" hidden="1">[1]BM!$A$3</definedName>
    <definedName name="CALC" localSheetId="3">#REF!</definedName>
    <definedName name="CALC" localSheetId="1">#REF!</definedName>
    <definedName name="CALC">#REF!</definedName>
    <definedName name="CÁLCULO.NúmeroDeEventos" localSheetId="3" hidden="1">IF(AUTOEVENTO&lt;&gt;"manual",MAX([1]CÁLCULO!$M$15:$M$267),MAX(OFFSET([1]EVENTOS!$C$14:$C$65,1,0)))</definedName>
    <definedName name="CÁLCULO.NúmeroDeEventos" localSheetId="1" hidden="1">IF(AUTOEVENTO&lt;&gt;"manual",MAX([1]CÁLCULO!$M$15:$M$267),MAX(OFFSET([1]EVENTOS!$C$14:$C$65,1,0)))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localSheetId="3" hidden="1">IF(AUTOEVENTO="manual",SUMIF([1]CÁLCULO!$M$15:$M$267,1,[1]ORÇAMENTO!$X$15:$X$267),0)</definedName>
    <definedName name="CÁLCULO.TotalAdmLocal" localSheetId="1" hidden="1">IF(AUTOEVENTO="manual",SUMIF([1]CÁLCULO!$M$15:$M$267,1,[1]ORÇAMENTO!$X$15:$X$267),0)</definedName>
    <definedName name="CÁLCULO.TotalAdmLocal" hidden="1">IF(AUTOEVENTO="manual",SUMIF([1]CÁLCULO!$M$15:$M$267,1,[1]ORÇAMENTO!$X$15:$X$267),0)</definedName>
    <definedName name="CalculoFossa20" localSheetId="3" hidden="1">{#N/A,#N/A,FALSE,"ALVENARIA";#N/A,#N/A,FALSE,"BLOCOS";#N/A,#N/A,FALSE,"CINTAS";#N/A,#N/A,FALSE,"CORTINA";#N/A,#N/A,FALSE,"LAJES";#N/A,#N/A,FALSE,"PILARES";#N/A,#N/A,FALSE,"VIGAS"}</definedName>
    <definedName name="CalculoFossa20" localSheetId="1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 localSheetId="1">#REF!</definedName>
    <definedName name="car">#REF!</definedName>
    <definedName name="CARNEIRO" localSheetId="1">#REF!</definedName>
    <definedName name="CARNEIRO">#REF!</definedName>
    <definedName name="Cedro1COMPLETO" localSheetId="3" hidden="1">{#N/A,#N/A,FALSE,"ALVENARIA";#N/A,#N/A,FALSE,"BLOCOS";#N/A,#N/A,FALSE,"CINTAS";#N/A,#N/A,FALSE,"CORTINA";#N/A,#N/A,FALSE,"LAJES";#N/A,#N/A,FALSE,"PILARES";#N/A,#N/A,FALSE,"VIGAS"}</definedName>
    <definedName name="Cedro1COMPLETO" localSheetId="1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localSheetId="3" hidden="1">{#N/A,#N/A,FALSE,"ALVENARIA";#N/A,#N/A,FALSE,"BLOCOS";#N/A,#N/A,FALSE,"CINTAS";#N/A,#N/A,FALSE,"CORTINA";#N/A,#N/A,FALSE,"LAJES";#N/A,#N/A,FALSE,"PILARES";#N/A,#N/A,FALSE,"VIGAS"}</definedName>
    <definedName name="ciclovia" localSheetId="1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3" hidden="1">{#N/A,#N/A,FALSE,"ALVENARIA";#N/A,#N/A,FALSE,"BLOCOS";#N/A,#N/A,FALSE,"CINTAS";#N/A,#N/A,FALSE,"CORTINA";#N/A,#N/A,FALSE,"LAJES";#N/A,#N/A,FALSE,"PILARES";#N/A,#N/A,FALSE,"VIGAS"}</definedName>
    <definedName name="ciclovia2" localSheetId="1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3" hidden="1">{#N/A,#N/A,FALSE,"ALVENARIA";#N/A,#N/A,FALSE,"BLOCOS";#N/A,#N/A,FALSE,"CINTAS";#N/A,#N/A,FALSE,"CORTINA";#N/A,#N/A,FALSE,"LAJES";#N/A,#N/A,FALSE,"PILARES";#N/A,#N/A,FALSE,"VIGAS"}</definedName>
    <definedName name="ciclovia3" localSheetId="1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3" hidden="1">{#N/A,#N/A,FALSE,"ALVENARIA";#N/A,#N/A,FALSE,"BLOCOS";#N/A,#N/A,FALSE,"CINTAS";#N/A,#N/A,FALSE,"CORTINA";#N/A,#N/A,FALSE,"LAJES";#N/A,#N/A,FALSE,"PILARES";#N/A,#N/A,FALSE,"VIGAS"}</definedName>
    <definedName name="ciclovia4" localSheetId="1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3" hidden="1">{#N/A,#N/A,FALSE,"ALVENARIA";#N/A,#N/A,FALSE,"BLOCOS";#N/A,#N/A,FALSE,"CINTAS";#N/A,#N/A,FALSE,"CORTINA";#N/A,#N/A,FALSE,"LAJES";#N/A,#N/A,FALSE,"PILARES";#N/A,#N/A,FALSE,"VIGAS"}</definedName>
    <definedName name="ciclovia5" localSheetId="1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3" hidden="1">{#N/A,#N/A,FALSE,"ALVENARIA";#N/A,#N/A,FALSE,"BLOCOS";#N/A,#N/A,FALSE,"CINTAS";#N/A,#N/A,FALSE,"CORTINA";#N/A,#N/A,FALSE,"LAJES";#N/A,#N/A,FALSE,"PILARES";#N/A,#N/A,FALSE,"VIGAS"}</definedName>
    <definedName name="ciclovia6" localSheetId="1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3" hidden="1">{#N/A,#N/A,FALSE,"ALVENARIA";#N/A,#N/A,FALSE,"BLOCOS";#N/A,#N/A,FALSE,"CINTAS";#N/A,#N/A,FALSE,"CORTINA";#N/A,#N/A,FALSE,"LAJES";#N/A,#N/A,FALSE,"PILARES";#N/A,#N/A,FALSE,"VIGAS"}</definedName>
    <definedName name="ciclovia7" localSheetId="1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3" hidden="1">{#N/A,#N/A,FALSE,"ALVENARIA";#N/A,#N/A,FALSE,"BLOCOS";#N/A,#N/A,FALSE,"CINTAS";#N/A,#N/A,FALSE,"CORTINA";#N/A,#N/A,FALSE,"LAJES";#N/A,#N/A,FALSE,"PILARES";#N/A,#N/A,FALSE,"VIGAS"}</definedName>
    <definedName name="ciclovia8" localSheetId="1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1">#REF!</definedName>
    <definedName name="Cliente">#REF!</definedName>
    <definedName name="codigo" localSheetId="1">#REF!</definedName>
    <definedName name="codigo">#REF!</definedName>
    <definedName name="CÓDIGO" localSheetId="1">#REF!</definedName>
    <definedName name="CÓDIGO">#REF!</definedName>
    <definedName name="cotação" localSheetId="3" hidden="1">{#N/A,#N/A,FALSE,"ALVENARIA";#N/A,#N/A,FALSE,"BLOCOS";#N/A,#N/A,FALSE,"CINTAS";#N/A,#N/A,FALSE,"CORTINA";#N/A,#N/A,FALSE,"LAJES";#N/A,#N/A,FALSE,"PILARES";#N/A,#N/A,FALSE,"VIGAS"}</definedName>
    <definedName name="cotação" localSheetId="1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localSheetId="3" hidden="1">COUNTIF([1]QCI!$B$13:$B$24,"Manual")+COUNTIF([1]QCI!$B$13:$B$24,"SemiAuto")+COUNT(ORÇAMENTO.ListaCrono)</definedName>
    <definedName name="CRONO.LinhasNecessarias" localSheetId="1" hidden="1">COUNTIF([1]QCI!$B$13:$B$24,"Manual")+COUNTIF([1]QCI!$B$13:$B$24,"SemiAuto")+COUNT(ORÇAMENTO.ListaCrono)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'[5]PLANILHA FONTE'!$B$1:$G$290</definedName>
    <definedName name="CRONOGRAMA_PERDE" localSheetId="0">[6]!PassaExtenso</definedName>
    <definedName name="CRONOGRAMA_PERDE">[6]!PassaExtenso</definedName>
    <definedName name="CRONOPLE.ValorDoEvento" hidden="1">SUMIF([1]CÁLCULO!$M$15:$M$267,[1]CRONOPLE!$B1,OFFSET([1]CÁLCULO!$AA$15:$AA$267,0,[1]CRONOPLE!A$12))</definedName>
    <definedName name="CROQUISX" localSheetId="3">#REF!</definedName>
    <definedName name="CROQUISX" localSheetId="1">#REF!</definedName>
    <definedName name="CROQUISX">#REF!</definedName>
    <definedName name="ddd" localSheetId="3" hidden="1">{#N/A,#N/A,FALSE,"ALVENARIA";#N/A,#N/A,FALSE,"BLOCOS";#N/A,#N/A,FALSE,"CINTAS";#N/A,#N/A,FALSE,"CORTINA";#N/A,#N/A,FALSE,"LAJES";#N/A,#N/A,FALSE,"PILARES";#N/A,#N/A,FALSE,"VIGAS"}</definedName>
    <definedName name="ddd" localSheetId="1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ESONERACAO" localSheetId="3" hidden="1">IF(OR(COMPOSIÇÃO!Import.Desoneracao="DESONERADO",COMPOSIÇÃO!Import.Desoneracao="SIM"),"SIM","NÃO")</definedName>
    <definedName name="DESONERACAO" localSheetId="1" hidden="1">IF(OR(Import.Desoneracao="DESONERADO",Import.Desoneracao="SIM"),"SIM","NÃO")</definedName>
    <definedName name="DESONERACAO" hidden="1">IF(OR(Import.Desoneracao="DESONERADO",Import.Desoneracao="SIM"),"SIM","NÃO")</definedName>
    <definedName name="DIDO" localSheetId="3">#REF!</definedName>
    <definedName name="DIDO" localSheetId="1">#REF!</definedName>
    <definedName name="DIDO">#REF!</definedName>
    <definedName name="DOLAR">[7]INSUMOS!$G$8</definedName>
    <definedName name="e" localSheetId="3">#REF!</definedName>
    <definedName name="e" localSheetId="1">#REF!</definedName>
    <definedName name="e">#REF!</definedName>
    <definedName name="EMPRESAS">OFFSET([8]Cotações!$B$25,1,0):OFFSET([8]Cotações!$H$41,-1,0)</definedName>
    <definedName name="ersdcefgbrnghrbgbrgfbgfwbvbfgvwfv" localSheetId="3">#REF!</definedName>
    <definedName name="ersdcefgbrnghrbgbrgfbgfwbvbfgvwfv" localSheetId="1">#REF!</definedName>
    <definedName name="ersdcefgbrnghrbgbrgfbgfwbvbfgvwfv">#REF!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localSheetId="3" hidden="1">TEXT(Import.DataBase,"mm-aaaa")</definedName>
    <definedName name="Excel_BuiltIn_Database" localSheetId="1" hidden="1">TEXT(Import.DataBase,"mm-aaaa")</definedName>
    <definedName name="Excel_BuiltIn_Database" hidden="1">TEXT(Import.DataBase,"mm-aaaa")</definedName>
    <definedName name="Excel_BuiltIn_Print_Area_2" localSheetId="3">#REF!</definedName>
    <definedName name="Excel_BuiltIn_Print_Area_2" localSheetId="1">#REF!</definedName>
    <definedName name="Excel_BuiltIn_Print_Area_2">#REF!</definedName>
    <definedName name="Excel_BuiltIn_Print_Area_2_1" localSheetId="3">#REF!</definedName>
    <definedName name="Excel_BuiltIn_Print_Area_2_1" localSheetId="1">#REF!</definedName>
    <definedName name="Excel_BuiltIn_Print_Area_2_1">#REF!</definedName>
    <definedName name="Excel_BuiltIn_Print_Area_2_1_1" localSheetId="3">#REF!</definedName>
    <definedName name="Excel_BuiltIn_Print_Area_2_1_1" localSheetId="1">#REF!</definedName>
    <definedName name="Excel_BuiltIn_Print_Area_2_1_1">#REF!</definedName>
    <definedName name="Excel_BuiltIn_Print_Area_2_1_1_1">#REF!</definedName>
    <definedName name="Excel_BuiltIn_Print_Area_4">#REF!</definedName>
    <definedName name="Fornecedor" localSheetId="1">#REF!</definedName>
    <definedName name="Fornecedor">#REF!</definedName>
    <definedName name="Fossa20" localSheetId="3" hidden="1">{#N/A,#N/A,FALSE,"ALVENARIA";#N/A,#N/A,FALSE,"BLOCOS";#N/A,#N/A,FALSE,"CINTAS";#N/A,#N/A,FALSE,"CORTINA";#N/A,#N/A,FALSE,"LAJES";#N/A,#N/A,FALSE,"PILARES";#N/A,#N/A,FALSE,"VIGAS"}</definedName>
    <definedName name="Fossa20" localSheetId="1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3" hidden="1">{#N/A,#N/A,FALSE,"ALVENARIA";#N/A,#N/A,FALSE,"BLOCOS";#N/A,#N/A,FALSE,"CINTAS";#N/A,#N/A,FALSE,"CORTINA";#N/A,#N/A,FALSE,"LAJES";#N/A,#N/A,FALSE,"PILARES";#N/A,#N/A,FALSE,"VIGAS"}</definedName>
    <definedName name="fran" localSheetId="1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mport.Apelido" localSheetId="3" hidden="1">[4]DADOS!$F$16</definedName>
    <definedName name="Import.Apelido" hidden="1">[1]DADOS!$F$16</definedName>
    <definedName name="Import.BDI.Det1" localSheetId="3" hidden="1">#REF!</definedName>
    <definedName name="Import.BDI.Det1" localSheetId="1" hidden="1">#REF!</definedName>
    <definedName name="Import.BDI.Det1" hidden="1">#REF!</definedName>
    <definedName name="Import.BDI.Det2" localSheetId="3" hidden="1">#REF!</definedName>
    <definedName name="Import.BDI.Det2" localSheetId="1" hidden="1">#REF!</definedName>
    <definedName name="Import.BDI.Det2" hidden="1">#REF!</definedName>
    <definedName name="Import.BDI.Det3" localSheetId="3" hidden="1">#REF!</definedName>
    <definedName name="Import.BDI.Det3" localSheetId="1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localSheetId="3" hidden="1">[4]DADOS!$F$17</definedName>
    <definedName name="Import.DescLote" hidden="1">[1]DADOS!$F$17</definedName>
    <definedName name="Import.Descrição" hidden="1">OFFSET([1]ORÇAMENTO!$R$15,1,0):OFFSET([1]ORÇAMENTO!$R$267,-1,0)</definedName>
    <definedName name="Import.Desoneracao" localSheetId="3" hidden="1">OFFSET([4]DADOS!$G$18,0,-1)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localSheetId="3" hidden="1">[4]DADOS!$F$6</definedName>
    <definedName name="Import.Município" hidden="1">[1]DADOS!$F$6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localSheetId="3" hidden="1">[4]DADOS!$F$22:$F$24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DICES">OFFSET([8]Cotações!$B$20,1,0):OFFSET([8]Cotações!$I$24,-1,0)</definedName>
    <definedName name="insumos">[9]INSUMOS!$A$1:$D$786</definedName>
    <definedName name="Item" localSheetId="3">#REF!</definedName>
    <definedName name="Item" localSheetId="1">#REF!</definedName>
    <definedName name="Item">#REF!</definedName>
    <definedName name="joa" localSheetId="3">#REF!</definedName>
    <definedName name="joa">#REF!</definedName>
    <definedName name="LALA" localSheetId="0">[6]!PassaExtenso</definedName>
    <definedName name="LALA">[6]!PassaExtenso</definedName>
    <definedName name="LALU" localSheetId="0">[6]!PassaExtenso</definedName>
    <definedName name="LALU">[6]!PassaExtenso</definedName>
    <definedName name="leosde" localSheetId="3">#REF!</definedName>
    <definedName name="leosde" localSheetId="1">#REF!</definedName>
    <definedName name="leosde">#REF!</definedName>
    <definedName name="Local" localSheetId="3">#REF!</definedName>
    <definedName name="Local" localSheetId="1">#REF!</definedName>
    <definedName name="Local">#REF!</definedName>
    <definedName name="mac" localSheetId="3" hidden="1">{#N/A,#N/A,FALSE,"ALVENARIA";#N/A,#N/A,FALSE,"BLOCOS";#N/A,#N/A,FALSE,"CINTAS";#N/A,#N/A,FALSE,"CORTINA";#N/A,#N/A,FALSE,"LAJES";#N/A,#N/A,FALSE,"PILARES";#N/A,#N/A,FALSE,"VIGAS"}</definedName>
    <definedName name="mac" localSheetId="1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3" hidden="1">{#N/A,#N/A,FALSE,"ALVENARIA";#N/A,#N/A,FALSE,"BLOCOS";#N/A,#N/A,FALSE,"CINTAS";#N/A,#N/A,FALSE,"CORTINA";#N/A,#N/A,FALSE,"LAJES";#N/A,#N/A,FALSE,"PILARES";#N/A,#N/A,FALSE,"VIGAS"}</definedName>
    <definedName name="MACAHDO" localSheetId="1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3" hidden="1">{#N/A,#N/A,FALSE,"ALVENARIA";#N/A,#N/A,FALSE,"BLOCOS";#N/A,#N/A,FALSE,"CINTAS";#N/A,#N/A,FALSE,"CORTINA";#N/A,#N/A,FALSE,"LAJES";#N/A,#N/A,FALSE,"PILARES";#N/A,#N/A,FALSE,"VIGAS"}</definedName>
    <definedName name="MACHADO" localSheetId="1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 localSheetId="1">#REF!</definedName>
    <definedName name="maia">#REF!</definedName>
    <definedName name="mel" localSheetId="1">#REF!</definedName>
    <definedName name="mel">#REF!</definedName>
    <definedName name="melissa">[10]Orcamento!$B$7:$C$268</definedName>
    <definedName name="MENU.CRONO" hidden="1">OFFSET([1]CRONO!$T$11,1,0)</definedName>
    <definedName name="nao" localSheetId="3">#REF!</definedName>
    <definedName name="nao" localSheetId="1">#REF!</definedName>
    <definedName name="nao">#REF!</definedName>
    <definedName name="NCOMPOSICOES">7</definedName>
    <definedName name="NCOTACOES">15</definedName>
    <definedName name="noo" localSheetId="3" hidden="1">{#N/A,#N/A,FALSE,"ALVENARIA";#N/A,#N/A,FALSE,"BLOCOS";#N/A,#N/A,FALSE,"CINTAS";#N/A,#N/A,FALSE,"CORTINA";#N/A,#N/A,FALSE,"LAJES";#N/A,#N/A,FALSE,"PILARES";#N/A,#N/A,FALSE,"VIGAS"}</definedName>
    <definedName name="noo" localSheetId="1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 localSheetId="3">#REF!</definedName>
    <definedName name="obra" localSheetId="1">#REF!</definedName>
    <definedName name="obra">#REF!</definedName>
    <definedName name="obra1" localSheetId="3">#REF!</definedName>
    <definedName name="obra1" localSheetId="1">#REF!</definedName>
    <definedName name="obra1">#REF!</definedName>
    <definedName name="obra2" localSheetId="3">#REF!</definedName>
    <definedName name="obra2" localSheetId="1">#REF!</definedName>
    <definedName name="obra2">#REF!</definedName>
    <definedName name="obra3">#REF!</definedName>
    <definedName name="obra4">#REF!</definedName>
    <definedName name="obra5">#REF!</definedName>
    <definedName name="orca">[10]Orcamento!$B$9:$C$149</definedName>
    <definedName name="orcamento" localSheetId="3" hidden="1">{#N/A,#N/A,FALSE,"ALVENARIA";#N/A,#N/A,FALSE,"BLOCOS";#N/A,#N/A,FALSE,"CINTAS";#N/A,#N/A,FALSE,"CORTINA";#N/A,#N/A,FALSE,"LAJES";#N/A,#N/A,FALSE,"PILARES";#N/A,#N/A,FALSE,"VIGAS"}</definedName>
    <definedName name="orcamento" localSheetId="1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hidden="1">[1]ORÇAMENTO!$F$8</definedName>
    <definedName name="ORÇAMENTO.CodBarra" localSheetId="3" hidden="1">IF(ORÇAMENTO.Fonte="Sinapi",SUBSTITUTE(SUBSTITUTE(ORÇAMENTO.Codigo,"/00","/"),"/0","/"),ORÇAMENTO.Codigo)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localSheetId="3" hidden="1">MAX(ORÇAMENTO.ListaCrono)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localSheetId="3" hidden="1">ORÇAMENTO.SumINVMANUAL-ORÇAMENTO.SumCPMANUAL-ORÇAMENTO.SumOUTROSMANUAL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[1]ORÇAMENTO!$S1</definedName>
    <definedName name="P.1" localSheetId="3">#REF!</definedName>
    <definedName name="P.1" localSheetId="1">#REF!</definedName>
    <definedName name="P.1">#REF!</definedName>
    <definedName name="P.10" localSheetId="3">#REF!</definedName>
    <definedName name="P.10" localSheetId="1">#REF!</definedName>
    <definedName name="P.10">#REF!</definedName>
    <definedName name="P.11" localSheetId="3">#REF!</definedName>
    <definedName name="P.11" localSheetId="1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 localSheetId="0">[11]!PassaExtenso</definedName>
    <definedName name="PassaExtenso">[11]!PassaExtenso</definedName>
    <definedName name="Pedreiro_de_acabamento">[7]INSUMOS!$B$11</definedName>
    <definedName name="plan" localSheetId="3">#REF!</definedName>
    <definedName name="plan" localSheetId="1">#REF!</definedName>
    <definedName name="plan">#REF!</definedName>
    <definedName name="Plano" localSheetId="3">#REF!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 localSheetId="3">#REF!</definedName>
    <definedName name="PP1.1" localSheetId="1">#REF!</definedName>
    <definedName name="PP1.1">#REF!</definedName>
    <definedName name="PP1.10" localSheetId="3">#REF!</definedName>
    <definedName name="PP1.10" localSheetId="1">#REF!</definedName>
    <definedName name="PP1.10">#REF!</definedName>
    <definedName name="PP1.11" localSheetId="3">#REF!</definedName>
    <definedName name="PP1.11" localSheetId="1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localSheetId="3" hidden="1">QCI.SumINVMANUAL-QCI.CPManual-QCI.OutrosManual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REFERENCIA.Descricao" localSheetId="3" hidden="1">IF(ISNUMBER([1]ORÇAMENTO!$AF1),OFFSET(INDIRECT(ORÇAMENTO.BancoRef),[1]ORÇAMENTO!$AF1-1,3,1),[1]ORÇAMENTO!$AF1)</definedName>
    <definedName name="REFERENCIA.Descricao" localSheetId="1" hidden="1">IF(ISNUMBER([1]ORÇAMENTO!$AF1),OFFSET(INDIRECT(ORÇAMENTO.BancoRef),[1]ORÇAMENTO!$AF1-1,3,1),[1]ORÇAMENTO!$AF1)</definedName>
    <definedName name="REFERENCIA.Descricao" hidden="1">IF(ISNUMBER([1]ORÇAMENTO!$AF1),OFFSET(INDIRECT(ORÇAMENTO.BancoRef),[1]ORÇAMENTO!$AF1-1,3,1),[1]ORÇAMENTO!$AF1)</definedName>
    <definedName name="REFERENCIA.Desonerado" localSheetId="3" hidden="1">IF(ISNUMBER([1]ORÇAMENTO!$AF1),VALUE(OFFSET(INDIRECT(ORÇAMENTO.BancoRef),[1]ORÇAMENTO!$AF1-1,5,1)),0)</definedName>
    <definedName name="REFERENCIA.Desonerado" localSheetId="1" hidden="1">IF(ISNUMBER([1]ORÇAMENTO!$AF1),VALUE(OFFSET(INDIRECT(ORÇAMENTO.BancoRef),[1]ORÇAMENTO!$AF1-1,5,1)),0)</definedName>
    <definedName name="REFERENCIA.Desonerado" hidden="1">IF(ISNUMBER([1]ORÇAMENTO!$AF1),VALUE(OFFSET(INDIRECT(ORÇAMENTO.BancoRef),[1]ORÇAMENTO!$AF1-1,5,1)),0)</definedName>
    <definedName name="REFERENCIA.NaoDesonerado" localSheetId="3" hidden="1">IF(ISNUMBER([1]ORÇAMENTO!$AF1),VALUE(OFFSET(INDIRECT(ORÇAMENTO.BancoRef),[1]ORÇAMENTO!$AF1-1,6,1)),0)</definedName>
    <definedName name="REFERENCIA.NaoDesonerado" localSheetId="1" hidden="1">IF(ISNUMBER([1]ORÇAMENTO!$AF1),VALUE(OFFSET(INDIRECT(ORÇAMENTO.BancoRef),[1]ORÇAMENTO!$AF1-1,6,1)),0)</definedName>
    <definedName name="REFERENCIA.NaoDesonerado" hidden="1">IF(ISNUMBER([1]ORÇAMENTO!$AF1),VALUE(OFFSET(INDIRECT(ORÇAMENTO.BancoRef),[1]ORÇAMENTO!$AF1-1,6,1)),0)</definedName>
    <definedName name="REFERENCIA.Unidade" localSheetId="3" hidden="1">IF(ISNUMBER([1]ORÇAMENTO!$AF1),OFFSET(INDIRECT(ORÇAMENTO.BancoRef),[1]ORÇAMENTO!$AF1-1,4,1),"-")</definedName>
    <definedName name="REFERENCIA.Unidade" localSheetId="1" hidden="1">IF(ISNUMBER([1]ORÇAMENTO!$AF1),OFFSET(INDIRECT(ORÇAMENTO.BancoRef),[1]ORÇAMENTO!$AF1-1,4,1),"-")</definedName>
    <definedName name="REFERENCIA.Unidade" hidden="1">IF(ISNUMBER([1]ORÇAMENTO!$AF1),OFFSET(INDIRECT(ORÇAMENTO.BancoRef),[1]ORÇAMENTO!$AF1-1,4,1),"-")</definedName>
    <definedName name="RegimeExecucao" localSheetId="3" hidden="1">IF(OR(Import.RegimeExecução="",Import.RegimeExecução="Empreitada por Preço Global",Import.RegimeExecução="Empreitada Integral"),"Global","Unitário")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ENHAGT" hidden="1">"PM3CAIXA"</definedName>
    <definedName name="SIIG" localSheetId="3">#REF!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1" localSheetId="3">#REF!</definedName>
    <definedName name="T.1" localSheetId="1">#REF!</definedName>
    <definedName name="T.1">#REF!</definedName>
    <definedName name="T.10" localSheetId="3">#REF!</definedName>
    <definedName name="T.10" localSheetId="1">#REF!</definedName>
    <definedName name="T.10">#REF!</definedName>
    <definedName name="T.11" localSheetId="3">#REF!</definedName>
    <definedName name="T.11" localSheetId="1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'[12]PLANILHA FONTE'!$B$2:$G$197</definedName>
    <definedName name="TABELA">'[13]PLANILHA FONTE'!$B$1:$G$290</definedName>
    <definedName name="TABELA.">'[12]PLANILHA FONTE'!$B$2:$G$197</definedName>
    <definedName name="TABELAA">'[12]PLANILHA FONTE'!$B$2:$G$197</definedName>
    <definedName name="TIPOORCAMENTO" hidden="1">IF(VALUE([1]MENU!$O$3)=2,"Licitado","Proposto")</definedName>
    <definedName name="_xlnm.Print_Titles" localSheetId="5">'CALCULO CALÇAMENTO'!$13:$15</definedName>
    <definedName name="_xlnm.Print_Titles" localSheetId="2">'Memoria de Calculo c'!$12:$13</definedName>
    <definedName name="TONINHO" localSheetId="3">#REF!</definedName>
    <definedName name="TONINHO" localSheetId="1">#REF!</definedName>
    <definedName name="TONINHO">#REF!</definedName>
    <definedName name="TOT.P" localSheetId="3">#REF!</definedName>
    <definedName name="TOT.P" localSheetId="1">#REF!</definedName>
    <definedName name="TOT.P">#REF!</definedName>
    <definedName name="TOT1.P" localSheetId="3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Y">#REF!</definedName>
    <definedName name="UN">'[14]ORÇ. PRAÇ'!$F$81</definedName>
    <definedName name="Unidade" localSheetId="3">#REF!</definedName>
    <definedName name="Unidade" localSheetId="1">#REF!</definedName>
    <definedName name="Unidade">#REF!</definedName>
    <definedName name="Versao" hidden="1">[1]MENU!$J$2</definedName>
    <definedName name="VTOTAL1" hidden="1">ROUND([1]ORÇAMENTO!$T1*[1]ORÇAMENTO!$W1,15-13*[1]ORÇAMENTO!$AF$11)</definedName>
    <definedName name="VTOTALBM" localSheetId="3" hidden="1">IF([1]BM!$I1=0,0,CHOOSE(MATCH(COMPOSIÇÃO!RegimeExecucao,{"Global","Unitário"},0),ROUND(ROUND([1]BM!IT1,15-13*[1]BM!$A$9)/100*[1]BM!$I1,15-13*[1]ORÇAMENTO!$AF$11),ROUND(ROUND([1]BM!IT1,15-13*[1]BM!$A$9)*ROUND([1]BM!$H1,15-13*[1]ORÇAMENTO!$AF$10),15-13*[1]ORÇAMENTO!$AF$11)))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localSheetId="1" hidden="1">IF([1]BM!$I1=0,0,CHOOSE(MATCH(CRON!RegimeExecucao,{"Global","Unitário"},0),ROUND(ROUND([1]BM!IT1,15-13*[1]BM!$A$9)/100*[1]BM!$I1,15-13*[1]ORÇAMENTO!$AF$11),ROUND(ROUND([1]BM!IT1,15-13*[1]BM!$A$9)*ROUND([1]BM!$H1,15-13*[1]ORÇAMENTO!$AF$10),15-13*[1]ORÇAMENTO!$AF$11)))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  <definedName name="wrn.mode_lev.xls." localSheetId="3" hidden="1">{#N/A,#N/A,FALSE,"ALVENARIA";#N/A,#N/A,FALSE,"BLOCOS";#N/A,#N/A,FALSE,"CINTAS";#N/A,#N/A,FALSE,"CORTINA";#N/A,#N/A,FALSE,"LAJES";#N/A,#N/A,FALSE,"PILARES";#N/A,#N/A,FALSE,"VIGAS"}</definedName>
    <definedName name="wrn.mode_lev.xls." localSheetId="1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3" hidden="1">{#N/A,#N/A,FALSE,"ALVENARIA";#N/A,#N/A,FALSE,"BLOCOS";#N/A,#N/A,FALSE,"CINTAS";#N/A,#N/A,FALSE,"CORTINA";#N/A,#N/A,FALSE,"LAJES";#N/A,#N/A,FALSE,"PILARES";#N/A,#N/A,FALSE,"VIGAS"}</definedName>
    <definedName name="x" localSheetId="1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2" i="11" l="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51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34" i="11"/>
  <c r="C129" i="11"/>
  <c r="C130" i="11"/>
  <c r="C131" i="11"/>
  <c r="C132" i="11"/>
  <c r="C128" i="11"/>
  <c r="B129" i="11"/>
  <c r="B130" i="11"/>
  <c r="B131" i="11"/>
  <c r="B132" i="11"/>
  <c r="B128" i="11"/>
  <c r="C121" i="11"/>
  <c r="C122" i="11"/>
  <c r="C123" i="11"/>
  <c r="C124" i="11"/>
  <c r="C125" i="11"/>
  <c r="C126" i="11"/>
  <c r="C120" i="11"/>
  <c r="B121" i="11"/>
  <c r="B122" i="11"/>
  <c r="B123" i="11"/>
  <c r="B124" i="11"/>
  <c r="B125" i="11"/>
  <c r="B126" i="11"/>
  <c r="B120" i="11"/>
  <c r="C118" i="11"/>
  <c r="C117" i="11"/>
  <c r="B118" i="11"/>
  <c r="B11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48" i="11"/>
  <c r="E71" i="14"/>
  <c r="G71" i="14" s="1"/>
  <c r="E70" i="14"/>
  <c r="G70" i="14" s="1"/>
  <c r="E85" i="14"/>
  <c r="G85" i="14" s="1"/>
  <c r="E81" i="14"/>
  <c r="G81" i="14" s="1"/>
  <c r="E88" i="14"/>
  <c r="E89" i="14"/>
  <c r="E90" i="14"/>
  <c r="E91" i="14"/>
  <c r="E92" i="14"/>
  <c r="E93" i="14"/>
  <c r="E94" i="14"/>
  <c r="E95" i="14"/>
  <c r="E96" i="14"/>
  <c r="E97" i="14"/>
  <c r="G97" i="14" s="1"/>
  <c r="E100" i="14"/>
  <c r="E101" i="14"/>
  <c r="G101" i="14" s="1"/>
  <c r="E102" i="14"/>
  <c r="E87" i="14"/>
  <c r="E105" i="14"/>
  <c r="G105" i="14" s="1"/>
  <c r="E106" i="14"/>
  <c r="G106" i="14" s="1"/>
  <c r="E107" i="14"/>
  <c r="E108" i="14"/>
  <c r="E109" i="14"/>
  <c r="G109" i="14" s="1"/>
  <c r="E110" i="14"/>
  <c r="E111" i="14"/>
  <c r="E112" i="14"/>
  <c r="E113" i="14"/>
  <c r="G113" i="14" s="1"/>
  <c r="E114" i="14"/>
  <c r="E115" i="14"/>
  <c r="G115" i="14" s="1"/>
  <c r="E116" i="14"/>
  <c r="E117" i="14"/>
  <c r="G117" i="14" s="1"/>
  <c r="E104" i="14"/>
  <c r="G104" i="14" s="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01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84" i="11"/>
  <c r="C79" i="11"/>
  <c r="C80" i="11"/>
  <c r="C81" i="11"/>
  <c r="C82" i="11"/>
  <c r="C78" i="11"/>
  <c r="B79" i="11"/>
  <c r="B80" i="11"/>
  <c r="B81" i="11"/>
  <c r="B82" i="11"/>
  <c r="B78" i="11"/>
  <c r="C71" i="11"/>
  <c r="C72" i="11"/>
  <c r="C73" i="11"/>
  <c r="C74" i="11"/>
  <c r="C75" i="11"/>
  <c r="C76" i="11"/>
  <c r="C70" i="11"/>
  <c r="B71" i="11"/>
  <c r="B72" i="11"/>
  <c r="B73" i="11"/>
  <c r="B74" i="11"/>
  <c r="B75" i="11"/>
  <c r="B76" i="11"/>
  <c r="B70" i="11"/>
  <c r="C68" i="11"/>
  <c r="C67" i="11"/>
  <c r="B68" i="11"/>
  <c r="B67" i="11"/>
  <c r="D95" i="11"/>
  <c r="D96" i="11" s="1"/>
  <c r="E99" i="14" s="1"/>
  <c r="G99" i="14" s="1"/>
  <c r="D81" i="11"/>
  <c r="E84" i="14" s="1"/>
  <c r="D80" i="11"/>
  <c r="E83" i="14" s="1"/>
  <c r="G83" i="14" s="1"/>
  <c r="D79" i="11"/>
  <c r="E82" i="14" s="1"/>
  <c r="D76" i="11"/>
  <c r="E79" i="14" s="1"/>
  <c r="G79" i="14" s="1"/>
  <c r="D75" i="11"/>
  <c r="E78" i="14" s="1"/>
  <c r="G78" i="14" s="1"/>
  <c r="D74" i="11"/>
  <c r="E77" i="14" s="1"/>
  <c r="G77" i="14" s="1"/>
  <c r="D73" i="11"/>
  <c r="E76" i="14" s="1"/>
  <c r="G76" i="14" s="1"/>
  <c r="D72" i="11"/>
  <c r="E75" i="14" s="1"/>
  <c r="G75" i="14" s="1"/>
  <c r="D71" i="11"/>
  <c r="E74" i="14" s="1"/>
  <c r="G74" i="14" s="1"/>
  <c r="D70" i="11"/>
  <c r="E73" i="14" s="1"/>
  <c r="G73" i="14" s="1"/>
  <c r="F107" i="14"/>
  <c r="F104" i="14"/>
  <c r="G111" i="14"/>
  <c r="E168" i="14"/>
  <c r="G168" i="14" s="1"/>
  <c r="E167" i="14"/>
  <c r="G167" i="14" s="1"/>
  <c r="E166" i="14"/>
  <c r="G166" i="14" s="1"/>
  <c r="E165" i="14"/>
  <c r="G165" i="14" s="1"/>
  <c r="E164" i="14"/>
  <c r="G164" i="14" s="1"/>
  <c r="E163" i="14"/>
  <c r="G163" i="14" s="1"/>
  <c r="E162" i="14"/>
  <c r="G162" i="14" s="1"/>
  <c r="E161" i="14"/>
  <c r="G161" i="14" s="1"/>
  <c r="E160" i="14"/>
  <c r="G160" i="14" s="1"/>
  <c r="E159" i="14"/>
  <c r="G159" i="14" s="1"/>
  <c r="F158" i="14"/>
  <c r="E158" i="14"/>
  <c r="C158" i="14"/>
  <c r="E157" i="14"/>
  <c r="G157" i="14" s="1"/>
  <c r="E156" i="14"/>
  <c r="G156" i="14" s="1"/>
  <c r="F155" i="14"/>
  <c r="G155" i="14" s="1"/>
  <c r="C155" i="14"/>
  <c r="E153" i="14"/>
  <c r="G153" i="14" s="1"/>
  <c r="E152" i="14"/>
  <c r="G152" i="14" s="1"/>
  <c r="E151" i="14"/>
  <c r="G151" i="14" s="1"/>
  <c r="E148" i="14"/>
  <c r="G148" i="14" s="1"/>
  <c r="E147" i="14"/>
  <c r="G147" i="14" s="1"/>
  <c r="E146" i="14"/>
  <c r="G146" i="14" s="1"/>
  <c r="E145" i="14"/>
  <c r="G145" i="14" s="1"/>
  <c r="E144" i="14"/>
  <c r="G144" i="14" s="1"/>
  <c r="E143" i="14"/>
  <c r="G143" i="14" s="1"/>
  <c r="E142" i="14"/>
  <c r="G142" i="14" s="1"/>
  <c r="E141" i="14"/>
  <c r="G141" i="14" s="1"/>
  <c r="E140" i="14"/>
  <c r="G140" i="14" s="1"/>
  <c r="E139" i="14"/>
  <c r="G139" i="14" s="1"/>
  <c r="E138" i="14"/>
  <c r="G138" i="14" s="1"/>
  <c r="E122" i="14"/>
  <c r="G122" i="14" s="1"/>
  <c r="E121" i="14"/>
  <c r="G121" i="14" s="1"/>
  <c r="E66" i="14"/>
  <c r="G66" i="14" s="1"/>
  <c r="E65" i="14"/>
  <c r="G65" i="14" s="1"/>
  <c r="E64" i="14"/>
  <c r="G64" i="14" s="1"/>
  <c r="E63" i="14"/>
  <c r="G63" i="14" s="1"/>
  <c r="E62" i="14"/>
  <c r="G62" i="14" s="1"/>
  <c r="G49" i="14"/>
  <c r="G48" i="14"/>
  <c r="G47" i="14"/>
  <c r="G46" i="14"/>
  <c r="J43" i="14"/>
  <c r="J42" i="14"/>
  <c r="G42" i="14"/>
  <c r="G41" i="14"/>
  <c r="E40" i="14"/>
  <c r="G40" i="14" s="1"/>
  <c r="E39" i="14"/>
  <c r="G39" i="14" s="1"/>
  <c r="L38" i="14"/>
  <c r="M38" i="14" s="1"/>
  <c r="E38" i="14"/>
  <c r="G38" i="14" s="1"/>
  <c r="E37" i="14"/>
  <c r="G37" i="14" s="1"/>
  <c r="E36" i="14"/>
  <c r="G36" i="14" s="1"/>
  <c r="E35" i="14"/>
  <c r="G35" i="14" s="1"/>
  <c r="L34" i="14"/>
  <c r="E34" i="14"/>
  <c r="G34" i="14" s="1"/>
  <c r="E33" i="14"/>
  <c r="G33" i="14" s="1"/>
  <c r="G31" i="14"/>
  <c r="G30" i="14"/>
  <c r="G29" i="14"/>
  <c r="G28" i="14"/>
  <c r="G27" i="14"/>
  <c r="G26" i="14"/>
  <c r="G25" i="14"/>
  <c r="G24" i="14"/>
  <c r="E23" i="14"/>
  <c r="G23" i="14" s="1"/>
  <c r="G22" i="14"/>
  <c r="E21" i="14"/>
  <c r="E20" i="14"/>
  <c r="G20" i="14" s="1"/>
  <c r="E19" i="14"/>
  <c r="G18" i="14"/>
  <c r="G17" i="14"/>
  <c r="I6" i="14"/>
  <c r="H136" i="14" s="1"/>
  <c r="E98" i="14" l="1"/>
  <c r="G98" i="14" s="1"/>
  <c r="I151" i="14"/>
  <c r="G158" i="14"/>
  <c r="E43" i="14"/>
  <c r="G43" i="14" s="1"/>
  <c r="H19" i="14"/>
  <c r="H97" i="14"/>
  <c r="H41" i="14"/>
  <c r="H145" i="14"/>
  <c r="H79" i="14"/>
  <c r="H75" i="14"/>
  <c r="H84" i="14"/>
  <c r="H101" i="14"/>
  <c r="I101" i="14" s="1"/>
  <c r="H89" i="14"/>
  <c r="H93" i="14"/>
  <c r="H36" i="14"/>
  <c r="H48" i="14"/>
  <c r="I48" i="14" s="1"/>
  <c r="I41" i="14" s="1"/>
  <c r="D19" i="13" s="1"/>
  <c r="H19" i="13" s="1"/>
  <c r="H139" i="14"/>
  <c r="H163" i="14"/>
  <c r="H71" i="14"/>
  <c r="H106" i="14"/>
  <c r="H110" i="14"/>
  <c r="I110" i="14" s="1"/>
  <c r="H114" i="14"/>
  <c r="H20" i="14"/>
  <c r="H24" i="14"/>
  <c r="H28" i="14"/>
  <c r="I28" i="14" s="1"/>
  <c r="H33" i="14"/>
  <c r="E45" i="14"/>
  <c r="G45" i="14" s="1"/>
  <c r="H135" i="14"/>
  <c r="H149" i="14"/>
  <c r="H76" i="14"/>
  <c r="H81" i="14"/>
  <c r="H85" i="14"/>
  <c r="H90" i="14"/>
  <c r="H94" i="14"/>
  <c r="H98" i="14"/>
  <c r="H102" i="14"/>
  <c r="I102" i="14" s="1"/>
  <c r="H17" i="14"/>
  <c r="H143" i="14"/>
  <c r="I143" i="14" s="1"/>
  <c r="H158" i="14"/>
  <c r="H167" i="14"/>
  <c r="I167" i="14" s="1"/>
  <c r="H107" i="14"/>
  <c r="H111" i="14"/>
  <c r="I111" i="14" s="1"/>
  <c r="H115" i="14"/>
  <c r="I115" i="14" s="1"/>
  <c r="H25" i="14"/>
  <c r="H29" i="14"/>
  <c r="I29" i="14" s="1"/>
  <c r="H37" i="14"/>
  <c r="I37" i="14" s="1"/>
  <c r="H153" i="14"/>
  <c r="I153" i="14" s="1"/>
  <c r="H161" i="14"/>
  <c r="I161" i="14" s="1"/>
  <c r="H73" i="14"/>
  <c r="H77" i="14"/>
  <c r="H82" i="14"/>
  <c r="H87" i="14"/>
  <c r="H91" i="14"/>
  <c r="I91" i="14" s="1"/>
  <c r="H95" i="14"/>
  <c r="H99" i="14"/>
  <c r="H18" i="14"/>
  <c r="I18" i="14" s="1"/>
  <c r="H21" i="14"/>
  <c r="H133" i="14"/>
  <c r="H147" i="14"/>
  <c r="H104" i="14"/>
  <c r="I104" i="14" s="1"/>
  <c r="H108" i="14"/>
  <c r="H112" i="14"/>
  <c r="H116" i="14"/>
  <c r="I116" i="14" s="1"/>
  <c r="H26" i="14"/>
  <c r="I26" i="14" s="1"/>
  <c r="H30" i="14"/>
  <c r="I30" i="14" s="1"/>
  <c r="H40" i="14"/>
  <c r="I40" i="14" s="1"/>
  <c r="H46" i="14"/>
  <c r="H141" i="14"/>
  <c r="H165" i="14"/>
  <c r="H74" i="14"/>
  <c r="H78" i="14"/>
  <c r="H83" i="14"/>
  <c r="H88" i="14"/>
  <c r="H92" i="14"/>
  <c r="I92" i="14" s="1"/>
  <c r="H96" i="14"/>
  <c r="H100" i="14"/>
  <c r="I100" i="14" s="1"/>
  <c r="H38" i="14"/>
  <c r="I38" i="14" s="1"/>
  <c r="H151" i="14"/>
  <c r="H159" i="14"/>
  <c r="H70" i="14"/>
  <c r="H105" i="14"/>
  <c r="I105" i="14" s="1"/>
  <c r="H109" i="14"/>
  <c r="H113" i="14"/>
  <c r="I113" i="14" s="1"/>
  <c r="H117" i="14"/>
  <c r="I117" i="14" s="1"/>
  <c r="G88" i="14"/>
  <c r="G90" i="14"/>
  <c r="G92" i="14"/>
  <c r="G94" i="14"/>
  <c r="G96" i="14"/>
  <c r="G100" i="14"/>
  <c r="G102" i="14"/>
  <c r="G108" i="14"/>
  <c r="G110" i="14"/>
  <c r="G112" i="14"/>
  <c r="G114" i="14"/>
  <c r="G116" i="14"/>
  <c r="G84" i="14"/>
  <c r="G87" i="14"/>
  <c r="G89" i="14"/>
  <c r="G91" i="14"/>
  <c r="G93" i="14"/>
  <c r="G95" i="14"/>
  <c r="G107" i="14"/>
  <c r="G82" i="14"/>
  <c r="G19" i="14"/>
  <c r="G21" i="14"/>
  <c r="H23" i="14"/>
  <c r="H31" i="14"/>
  <c r="I31" i="14" s="1"/>
  <c r="H34" i="14"/>
  <c r="H45" i="14"/>
  <c r="H121" i="14"/>
  <c r="I121" i="14" s="1"/>
  <c r="H43" i="14"/>
  <c r="H49" i="14"/>
  <c r="H51" i="14"/>
  <c r="H53" i="14"/>
  <c r="H55" i="14"/>
  <c r="H57" i="14"/>
  <c r="H59" i="14"/>
  <c r="H61" i="14"/>
  <c r="H63" i="14"/>
  <c r="I63" i="14" s="1"/>
  <c r="H65" i="14"/>
  <c r="H124" i="14"/>
  <c r="H126" i="14"/>
  <c r="H128" i="14"/>
  <c r="H130" i="14"/>
  <c r="H156" i="14"/>
  <c r="I156" i="14" s="1"/>
  <c r="H138" i="14"/>
  <c r="H140" i="14"/>
  <c r="H142" i="14"/>
  <c r="I142" i="14" s="1"/>
  <c r="H144" i="14"/>
  <c r="H146" i="14"/>
  <c r="H148" i="14"/>
  <c r="H150" i="14"/>
  <c r="H152" i="14"/>
  <c r="I152" i="14" s="1"/>
  <c r="H160" i="14"/>
  <c r="H162" i="14"/>
  <c r="I162" i="14" s="1"/>
  <c r="H164" i="14"/>
  <c r="I164" i="14" s="1"/>
  <c r="H166" i="14"/>
  <c r="I166" i="14" s="1"/>
  <c r="H168" i="14"/>
  <c r="I168" i="14" s="1"/>
  <c r="E44" i="14"/>
  <c r="G44" i="14" s="1"/>
  <c r="H22" i="14"/>
  <c r="H27" i="14"/>
  <c r="I27" i="14" s="1"/>
  <c r="H35" i="14"/>
  <c r="H39" i="14"/>
  <c r="H47" i="14"/>
  <c r="H122" i="14"/>
  <c r="H42" i="14"/>
  <c r="H44" i="14"/>
  <c r="H50" i="14"/>
  <c r="H52" i="14"/>
  <c r="H54" i="14"/>
  <c r="H56" i="14"/>
  <c r="H58" i="14"/>
  <c r="H60" i="14"/>
  <c r="H62" i="14"/>
  <c r="I62" i="14" s="1"/>
  <c r="H64" i="14"/>
  <c r="I64" i="14" s="1"/>
  <c r="H66" i="14"/>
  <c r="I66" i="14" s="1"/>
  <c r="H125" i="14"/>
  <c r="H127" i="14"/>
  <c r="H129" i="14"/>
  <c r="H155" i="14"/>
  <c r="I155" i="14" s="1"/>
  <c r="H157" i="14"/>
  <c r="H132" i="14"/>
  <c r="H134" i="14"/>
  <c r="I46" i="13"/>
  <c r="I44" i="13"/>
  <c r="I42" i="13"/>
  <c r="I40" i="13"/>
  <c r="I38" i="13"/>
  <c r="I31" i="13"/>
  <c r="I29" i="13"/>
  <c r="I27" i="13"/>
  <c r="I25" i="13"/>
  <c r="I20" i="13"/>
  <c r="I18" i="13"/>
  <c r="B18" i="13"/>
  <c r="I16" i="13"/>
  <c r="B16" i="13"/>
  <c r="I14" i="13"/>
  <c r="I12" i="13"/>
  <c r="B12" i="13"/>
  <c r="I10" i="13"/>
  <c r="B10" i="13"/>
  <c r="I103" i="14" l="1"/>
  <c r="D34" i="13" s="1"/>
  <c r="I22" i="14"/>
  <c r="D13" i="13" s="1"/>
  <c r="E13" i="13" s="1"/>
  <c r="I13" i="13" s="1"/>
  <c r="I25" i="14"/>
  <c r="D15" i="13" s="1"/>
  <c r="I17" i="14"/>
  <c r="D11" i="13" s="1"/>
  <c r="I69" i="14"/>
  <c r="D26" i="13" s="1"/>
  <c r="I86" i="14"/>
  <c r="D32" i="13" s="1"/>
  <c r="I80" i="14"/>
  <c r="D30" i="13" s="1"/>
  <c r="I72" i="14"/>
  <c r="D28" i="13" s="1"/>
  <c r="I32" i="14"/>
  <c r="D17" i="13" s="1"/>
  <c r="I154" i="14"/>
  <c r="D47" i="13" s="1"/>
  <c r="I120" i="14"/>
  <c r="D39" i="13" s="1"/>
  <c r="E19" i="13"/>
  <c r="F19" i="13"/>
  <c r="G19" i="13"/>
  <c r="E11" i="13" l="1"/>
  <c r="I11" i="13" s="1"/>
  <c r="I118" i="14"/>
  <c r="I19" i="13"/>
  <c r="D59" i="11" l="1"/>
  <c r="D57" i="11"/>
  <c r="D56" i="11"/>
  <c r="D55" i="11"/>
  <c r="D54" i="11"/>
  <c r="D53" i="11"/>
  <c r="D52" i="11"/>
  <c r="I52" i="11"/>
  <c r="D51" i="11"/>
  <c r="D50" i="11"/>
  <c r="D49" i="11"/>
  <c r="D48" i="11"/>
  <c r="I48" i="11"/>
  <c r="E52" i="14" l="1"/>
  <c r="E54" i="14"/>
  <c r="E51" i="14"/>
  <c r="E55" i="14"/>
  <c r="E56" i="14"/>
  <c r="E50" i="14"/>
  <c r="E57" i="14"/>
  <c r="E58" i="14"/>
  <c r="E59" i="14"/>
  <c r="E53" i="14"/>
  <c r="E61" i="14"/>
  <c r="D58" i="11"/>
  <c r="G50" i="14" l="1"/>
  <c r="G55" i="14"/>
  <c r="G53" i="14"/>
  <c r="E60" i="14"/>
  <c r="G56" i="14"/>
  <c r="G58" i="14"/>
  <c r="G61" i="14"/>
  <c r="G57" i="14"/>
  <c r="G51" i="14"/>
  <c r="G54" i="14"/>
  <c r="G59" i="14"/>
  <c r="G52" i="14"/>
  <c r="G60" i="14" l="1"/>
  <c r="I49" i="14"/>
  <c r="D145" i="11"/>
  <c r="I143" i="11"/>
  <c r="I142" i="11"/>
  <c r="I141" i="11"/>
  <c r="I136" i="11"/>
  <c r="J135" i="11"/>
  <c r="J139" i="11"/>
  <c r="K139" i="11" s="1"/>
  <c r="D131" i="11"/>
  <c r="E135" i="14" s="1"/>
  <c r="D130" i="11"/>
  <c r="E134" i="14" s="1"/>
  <c r="D129" i="11"/>
  <c r="E133" i="14" s="1"/>
  <c r="D126" i="11"/>
  <c r="E130" i="14" s="1"/>
  <c r="D125" i="11"/>
  <c r="E129" i="14" s="1"/>
  <c r="D124" i="11"/>
  <c r="E128" i="14" s="1"/>
  <c r="I124" i="11"/>
  <c r="D123" i="11"/>
  <c r="E127" i="14" s="1"/>
  <c r="D122" i="11"/>
  <c r="E126" i="14" s="1"/>
  <c r="D121" i="11"/>
  <c r="E125" i="14" s="1"/>
  <c r="D120" i="11"/>
  <c r="E124" i="14" s="1"/>
  <c r="I120" i="11"/>
  <c r="I118" i="11"/>
  <c r="I67" i="14" l="1"/>
  <c r="D21" i="13"/>
  <c r="G125" i="14"/>
  <c r="G126" i="14"/>
  <c r="E149" i="14"/>
  <c r="G135" i="14"/>
  <c r="G127" i="14"/>
  <c r="G134" i="14"/>
  <c r="G128" i="14"/>
  <c r="G129" i="14"/>
  <c r="G130" i="14"/>
  <c r="G124" i="14"/>
  <c r="G133" i="14"/>
  <c r="D146" i="11"/>
  <c r="H23" i="12"/>
  <c r="H22" i="12"/>
  <c r="H21" i="12"/>
  <c r="H20" i="12"/>
  <c r="H19" i="12"/>
  <c r="H18" i="12"/>
  <c r="H17" i="12"/>
  <c r="H16" i="12"/>
  <c r="I123" i="14" l="1"/>
  <c r="D41" i="13" s="1"/>
  <c r="E150" i="14"/>
  <c r="G149" i="14"/>
  <c r="H15" i="12"/>
  <c r="G150" i="14" l="1"/>
  <c r="I137" i="14"/>
  <c r="D45" i="13" s="1"/>
  <c r="E136" i="14" l="1"/>
  <c r="E132" i="14"/>
  <c r="G136" i="14" l="1"/>
  <c r="G132" i="14"/>
  <c r="H13" i="12"/>
  <c r="J12" i="12"/>
  <c r="H12" i="12"/>
  <c r="H11" i="12"/>
  <c r="J10" i="12"/>
  <c r="H10" i="12"/>
  <c r="H9" i="12"/>
  <c r="I8" i="12"/>
  <c r="H8" i="12"/>
  <c r="H7" i="12"/>
  <c r="H6" i="12"/>
  <c r="H5" i="12"/>
  <c r="I131" i="14" l="1"/>
  <c r="H4" i="12"/>
  <c r="I169" i="14" l="1"/>
  <c r="I171" i="14" s="1"/>
  <c r="D43" i="13"/>
  <c r="D52" i="13" s="1"/>
  <c r="I96" i="11"/>
  <c r="I94" i="11"/>
  <c r="I92" i="11"/>
  <c r="I87" i="11"/>
  <c r="I83" i="11" l="1"/>
  <c r="I82" i="11"/>
  <c r="I81" i="11"/>
  <c r="I80" i="11"/>
  <c r="I78" i="11"/>
  <c r="J79" i="11"/>
  <c r="I79" i="11"/>
  <c r="J78" i="11"/>
  <c r="I73" i="11"/>
  <c r="I75" i="11"/>
  <c r="I74" i="11"/>
  <c r="J74" i="11"/>
  <c r="I77" i="11" l="1"/>
  <c r="I71" i="11"/>
  <c r="I76" i="11"/>
  <c r="J72" i="11"/>
  <c r="J70" i="11"/>
  <c r="I70" i="11"/>
  <c r="I38" i="11" l="1"/>
  <c r="I33" i="11"/>
  <c r="J32" i="11"/>
  <c r="J36" i="11" l="1"/>
  <c r="K36" i="11" s="1"/>
  <c r="D44" i="10" l="1"/>
  <c r="G28" i="10"/>
  <c r="D36" i="13" l="1"/>
  <c r="E39" i="13"/>
  <c r="H39" i="13"/>
  <c r="F39" i="13"/>
  <c r="G39" i="13"/>
  <c r="F28" i="13"/>
  <c r="G28" i="13"/>
  <c r="E28" i="13"/>
  <c r="H28" i="13"/>
  <c r="F43" i="13"/>
  <c r="E43" i="13"/>
  <c r="G43" i="13"/>
  <c r="H43" i="13"/>
  <c r="F32" i="13"/>
  <c r="G32" i="13"/>
  <c r="H32" i="13"/>
  <c r="E32" i="13"/>
  <c r="G34" i="13"/>
  <c r="H34" i="13"/>
  <c r="F34" i="13"/>
  <c r="G41" i="13"/>
  <c r="H41" i="13"/>
  <c r="F41" i="13"/>
  <c r="E41" i="13"/>
  <c r="G47" i="13"/>
  <c r="F47" i="13"/>
  <c r="E47" i="13"/>
  <c r="H47" i="13"/>
  <c r="D49" i="13"/>
  <c r="D38" i="13" s="1"/>
  <c r="E45" i="13"/>
  <c r="F45" i="13"/>
  <c r="G45" i="13"/>
  <c r="H45" i="13"/>
  <c r="E26" i="13"/>
  <c r="H26" i="13"/>
  <c r="F26" i="13"/>
  <c r="G26" i="13"/>
  <c r="F17" i="13"/>
  <c r="H17" i="13"/>
  <c r="E17" i="13"/>
  <c r="G17" i="13"/>
  <c r="G15" i="13"/>
  <c r="E15" i="13"/>
  <c r="F15" i="13"/>
  <c r="G21" i="13"/>
  <c r="D23" i="13"/>
  <c r="F21" i="13"/>
  <c r="E21" i="13"/>
  <c r="H21" i="13"/>
  <c r="E30" i="13"/>
  <c r="G30" i="13"/>
  <c r="H30" i="13"/>
  <c r="F30" i="13"/>
  <c r="G36" i="13" l="1"/>
  <c r="F36" i="13"/>
  <c r="H36" i="13"/>
  <c r="D20" i="13"/>
  <c r="D16" i="13"/>
  <c r="D10" i="13"/>
  <c r="D18" i="13"/>
  <c r="D14" i="13"/>
  <c r="D12" i="13"/>
  <c r="H23" i="13"/>
  <c r="H22" i="13" s="1"/>
  <c r="D40" i="13"/>
  <c r="I17" i="13"/>
  <c r="D46" i="13"/>
  <c r="E49" i="13"/>
  <c r="E48" i="13" s="1"/>
  <c r="I41" i="13"/>
  <c r="D29" i="13"/>
  <c r="I21" i="13"/>
  <c r="E23" i="13"/>
  <c r="E22" i="13" s="1"/>
  <c r="G49" i="13"/>
  <c r="G48" i="13" s="1"/>
  <c r="I43" i="13"/>
  <c r="I30" i="13"/>
  <c r="G23" i="13"/>
  <c r="G22" i="13" s="1"/>
  <c r="I45" i="13"/>
  <c r="I47" i="13"/>
  <c r="D27" i="13"/>
  <c r="I26" i="13"/>
  <c r="I15" i="13"/>
  <c r="D25" i="13"/>
  <c r="D44" i="13"/>
  <c r="D42" i="13"/>
  <c r="D51" i="13"/>
  <c r="H49" i="13"/>
  <c r="H48" i="13" s="1"/>
  <c r="D31" i="13"/>
  <c r="I32" i="13"/>
  <c r="F23" i="13"/>
  <c r="F22" i="13" s="1"/>
  <c r="F49" i="13"/>
  <c r="F48" i="13" s="1"/>
  <c r="D33" i="13"/>
  <c r="E33" i="13" s="1"/>
  <c r="I28" i="13"/>
  <c r="I39" i="13"/>
  <c r="D35" i="13" l="1"/>
  <c r="D22" i="13"/>
  <c r="D48" i="13"/>
  <c r="I49" i="13"/>
  <c r="I48" i="13" s="1"/>
  <c r="I33" i="13"/>
  <c r="E34" i="13"/>
  <c r="E36" i="13" s="1"/>
  <c r="H35" i="13"/>
  <c r="H52" i="13"/>
  <c r="H51" i="13" s="1"/>
  <c r="G35" i="13"/>
  <c r="G52" i="13"/>
  <c r="G51" i="13" s="1"/>
  <c r="F35" i="13"/>
  <c r="F52" i="13"/>
  <c r="F51" i="13" s="1"/>
  <c r="I23" i="13"/>
  <c r="I22" i="13" s="1"/>
  <c r="I34" i="13" l="1"/>
  <c r="I36" i="13" l="1"/>
  <c r="I35" i="13" s="1"/>
  <c r="E35" i="13"/>
  <c r="E52" i="13"/>
  <c r="K25" i="3"/>
  <c r="B36" i="3"/>
  <c r="E35" i="3"/>
  <c r="E36" i="3"/>
  <c r="E34" i="3"/>
  <c r="E27" i="3"/>
  <c r="F26" i="3"/>
  <c r="G26" i="3"/>
  <c r="G27" i="3" s="1"/>
  <c r="G30" i="3" s="1"/>
  <c r="G31" i="3" s="1"/>
  <c r="E20" i="3"/>
  <c r="E26" i="3" s="1"/>
  <c r="B35" i="3"/>
  <c r="B34" i="3"/>
  <c r="B30" i="3"/>
  <c r="B27" i="3"/>
  <c r="B26" i="3"/>
  <c r="B23" i="3"/>
  <c r="B20" i="3"/>
  <c r="B17" i="3"/>
  <c r="E51" i="13" l="1"/>
  <c r="I52" i="13"/>
  <c r="I51" i="13" s="1"/>
  <c r="G36" i="3"/>
  <c r="G34" i="3"/>
  <c r="G35" i="3"/>
</calcChain>
</file>

<file path=xl/sharedStrings.xml><?xml version="1.0" encoding="utf-8"?>
<sst xmlns="http://schemas.openxmlformats.org/spreadsheetml/2006/main" count="1297" uniqueCount="469">
  <si>
    <t>Item</t>
  </si>
  <si>
    <t>Unid.</t>
  </si>
  <si>
    <t>TOTAL</t>
  </si>
  <si>
    <t>-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</si>
  <si>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</si>
  <si>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</si>
  <si>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</si>
  <si>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</si>
  <si>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</si>
  <si>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</si>
  <si>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</si>
  <si>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</si>
  <si>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</si>
  <si>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</si>
  <si>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</si>
  <si>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</si>
  <si>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</si>
  <si>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</si>
  <si>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</si>
  <si>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</si>
  <si>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</si>
  <si>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</si>
  <si>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</si>
  <si>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</si>
  <si>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</si>
  <si>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</si>
  <si>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</si>
  <si>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</si>
  <si>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</si>
  <si>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</si>
  <si>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</si>
  <si>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</si>
  <si>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</si>
  <si>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</si>
  <si>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</si>
  <si>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</si>
  <si>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</si>
  <si>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</si>
  <si>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</si>
  <si>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</si>
  <si>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Projeto:</t>
    </r>
    <r>
      <rPr>
        <sz val="11"/>
        <rFont val="Arial"/>
        <family val="2"/>
      </rPr>
      <t xml:space="preserve"> Calçamento em Bloquete Sextavado 35 MPA</t>
    </r>
  </si>
  <si>
    <r>
      <t>Responsável Técnico:</t>
    </r>
    <r>
      <rPr>
        <sz val="11"/>
        <rFont val="Arial"/>
        <family val="2"/>
      </rPr>
      <t xml:space="preserve"> Sérgio Renato Silva de Sá  CREA MG 108.066/D</t>
    </r>
  </si>
  <si>
    <r>
      <t>Data:</t>
    </r>
    <r>
      <rPr>
        <sz val="11"/>
        <rFont val="Arial"/>
        <family val="2"/>
      </rPr>
      <t xml:space="preserve"> 17/02/2018</t>
    </r>
  </si>
  <si>
    <t>SETOP_Norte</t>
  </si>
  <si>
    <t>SERVIÇOS PRELIMENARES:</t>
  </si>
  <si>
    <t>Placa da obra padrão Governo do Estado de Minas Gerais  (1,50x3,0m)</t>
  </si>
  <si>
    <t>1.0</t>
  </si>
  <si>
    <t>1.1</t>
  </si>
  <si>
    <t>TERRAPLENAGEM:</t>
  </si>
  <si>
    <t>Escavação e carga com trator e carregadeira - Material de  1ª categoria</t>
  </si>
  <si>
    <t>Regularização de sub leito com procton normal</t>
  </si>
  <si>
    <t>2.0</t>
  </si>
  <si>
    <t>2.1</t>
  </si>
  <si>
    <t>2.2</t>
  </si>
  <si>
    <t>PAVIMENTAÇÂO:</t>
  </si>
  <si>
    <t>Execução de base de solo estabilizado, incluido carga, descarga, espalhamento e compactação do material;incluindo aquisição mat. E=20 cm</t>
  </si>
  <si>
    <t>Execução de calçamento em bloquete espessura 8,0 cm, FCK=35,0 mpa, incluindo o fornecimento e transporte de todos os materiais, colchão de assentamento espessura 6,0 cm.</t>
  </si>
  <si>
    <t>3.0</t>
  </si>
  <si>
    <t>3.1</t>
  </si>
  <si>
    <t>3.2</t>
  </si>
  <si>
    <t>DRENAGEM:</t>
  </si>
  <si>
    <t>Sarjeta pluvial em concreto Tipo 2-  E = 5,0 cm L=50,0 cm  i = 15,0%, padrão DEOP-MG.</t>
  </si>
  <si>
    <t>4.0</t>
  </si>
  <si>
    <t>4.1</t>
  </si>
  <si>
    <t>TRANSPORTES:</t>
  </si>
  <si>
    <t>Transporte material para base DMT = 10,0 km</t>
  </si>
  <si>
    <t>Transporte do material escavado das ruas, para  bota-fora (DMT = 5,0 km)</t>
  </si>
  <si>
    <t>5.0</t>
  </si>
  <si>
    <t>5.1</t>
  </si>
  <si>
    <t>5.2</t>
  </si>
  <si>
    <t>UND</t>
  </si>
  <si>
    <t>M3</t>
  </si>
  <si>
    <t>M2</t>
  </si>
  <si>
    <t>M</t>
  </si>
  <si>
    <t>Meio fio de concreto pré moldado tipo A (12x16,7x35)cm, inclusive escavação e reaterro</t>
  </si>
  <si>
    <t>4.2</t>
  </si>
  <si>
    <t>URB-MFC-005</t>
  </si>
  <si>
    <t>M3XKM</t>
  </si>
  <si>
    <t>ITEM</t>
  </si>
  <si>
    <t>DESCRIÇÃO</t>
  </si>
  <si>
    <t xml:space="preserve">MEMORIAL DE CALCULO </t>
  </si>
  <si>
    <t xml:space="preserve">VIAS </t>
  </si>
  <si>
    <t>OBS</t>
  </si>
  <si>
    <t>SINAPI</t>
  </si>
  <si>
    <t>5.3</t>
  </si>
  <si>
    <t>Montavania</t>
  </si>
  <si>
    <t>Município São João da s Missões</t>
  </si>
  <si>
    <t>930*0,15</t>
  </si>
  <si>
    <t>264+666</t>
  </si>
  <si>
    <t>930-300*0,6</t>
  </si>
  <si>
    <t>150+150</t>
  </si>
  <si>
    <t>Transporte do material escavado das ruas, para  bota-fora (DMT = 24km)</t>
  </si>
  <si>
    <t>930*0,15*10</t>
  </si>
  <si>
    <t>870*0,06*24</t>
  </si>
  <si>
    <t>930*0,15*5</t>
  </si>
  <si>
    <t>MEMÓRIA DE CÁLCULO</t>
  </si>
  <si>
    <t>1.2</t>
  </si>
  <si>
    <t>FORNECIMENTO E COLOCAÇÃO DE PLACA DE OBRA EM CHAPA
GALVANIZADA (3,00 X 1,5 0 M) - EM CHAPA GALVANIZADA 0,26
AFIXADAS COM REBITES 540 E PARAFUSOS 3/8, EM ESTRUTURA
METÁLICA VIGA U 2" ENRIJECIDA COM METALON 20 X 20, SUPORTE
EM EUCALIPTO AUTOCLAVADO PINTADAS</t>
  </si>
  <si>
    <t>AC</t>
  </si>
  <si>
    <t>S e G</t>
  </si>
  <si>
    <t>R</t>
  </si>
  <si>
    <t>DF</t>
  </si>
  <si>
    <t>L</t>
  </si>
  <si>
    <t>BDI calculado pela expressão:</t>
  </si>
  <si>
    <t>BDI = {(( 1 + AC/100 + S/100 + R/100 + G/100) x ( 1+ DF/100) x ( 1 + L/100) / ( 1 - l/100)) - 1 ) x 100</t>
  </si>
  <si>
    <t>__________________________________________________</t>
  </si>
  <si>
    <t>____________________________________________________</t>
  </si>
  <si>
    <t>Jair Cavalcante Barbosa</t>
  </si>
  <si>
    <t>ENGENHEIRO CIVIL</t>
  </si>
  <si>
    <t>Prefeito Municipal</t>
  </si>
  <si>
    <r>
      <t>Município:</t>
    </r>
    <r>
      <rPr>
        <sz val="11"/>
        <rFont val="Arial"/>
        <family val="2"/>
      </rPr>
      <t xml:space="preserve">  São João das Missões</t>
    </r>
  </si>
  <si>
    <t>ILUMINAÇÃO:</t>
  </si>
  <si>
    <t>SERVIÇOS COMPLEMENTARES:</t>
  </si>
  <si>
    <t>PISO:</t>
  </si>
  <si>
    <t>PREFEITURA  MUNICIPAL DE SÃO JOÃO DAS MISSÕES</t>
  </si>
  <si>
    <t>Cálculo do BDI</t>
  </si>
  <si>
    <t>Fórmula e parâmetro estabelecido pelo Acórdão 2622/2013- TCU-Plenário</t>
  </si>
  <si>
    <t>TIPOS DE OBRAS CONTEMPLADAS</t>
  </si>
  <si>
    <t>Construção de Rodovias e Ferrovias: OBS: Tipo de obra que mais se assemelha com objeto deste orçamento</t>
  </si>
  <si>
    <t>DEMOSTRATIVO BDI</t>
  </si>
  <si>
    <t>1° quartil</t>
  </si>
  <si>
    <t>Médio</t>
  </si>
  <si>
    <t>3º quartil</t>
  </si>
  <si>
    <t>Adotado</t>
  </si>
  <si>
    <t>identificação</t>
  </si>
  <si>
    <t>Administração Central</t>
  </si>
  <si>
    <t>Seguro e Garantia</t>
  </si>
  <si>
    <t>Risco</t>
  </si>
  <si>
    <t>Despesas Financeiras</t>
  </si>
  <si>
    <t>Lucro</t>
  </si>
  <si>
    <t>I *</t>
  </si>
  <si>
    <t>conforme legislação</t>
  </si>
  <si>
    <t>Tributos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</si>
  <si>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</si>
  <si>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</si>
  <si>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</si>
  <si>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</si>
  <si>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</si>
  <si>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</si>
  <si>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</si>
  <si>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</si>
  <si>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</si>
  <si>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ISS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</si>
  <si>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</si>
  <si>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</si>
  <si>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</si>
  <si>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</si>
  <si>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Local/Data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</si>
  <si>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</si>
  <si>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</si>
  <si>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</si>
  <si>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</si>
  <si>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OBS: 134,85 AREA TOTAL</t>
  </si>
  <si>
    <t>COMPRIMENTO PARA ALVENARIA = 44,9</t>
  </si>
  <si>
    <t>RAMPA PARA ACESSO DE DEFICIENTE, EM CONCRETO SIMPLES FCK = 25 MPA, DESEMPENADA, COM PINTURA INDICATIVA, 02 DEMÃOS</t>
  </si>
  <si>
    <t/>
  </si>
  <si>
    <t>ENTRADA DE ENERGIA AÉREA, TIPO B1, PADRÃO CEMIG, CARGA INSTALADA DE ATÉ 10KW, BIFÁSICO, COM SAÍDA SUBTERRÂNEA, INCLUSIVE POSTE, CAIXA PARA MEDIDOR, DISJUNTOR, BARRAMENTO, ATERRAMENTO E ACESSÓRIOS</t>
  </si>
  <si>
    <t>ED-20579</t>
  </si>
  <si>
    <t>CAIXA DE INSPEÇÃO EM CONCRETO, TIPO "ZA" PASSEIO, PADRÃO CEMIG, DIMENSÃO (28X28)CM, ALTURA 40CM, COM TAMPA E ARO ARTICULADO EM FERRO FUNDIDO, INCLUSIVE ESCAVAÇÃO, APILOAMENTO, LASTRO DE BRITA, REATERRO E TRANSPORTE E RETIRADA DO MATERIAL ESCAVADO (EM CAÇAMBA)</t>
  </si>
  <si>
    <t>3.3</t>
  </si>
  <si>
    <t>3.4</t>
  </si>
  <si>
    <t>3.5</t>
  </si>
  <si>
    <t>5.4</t>
  </si>
  <si>
    <t>5.6</t>
  </si>
  <si>
    <t>TELHAMENTO COM TELHA CERÂMICA CAPA-CANAL, TIPO PLAN, COM MAIS DE 2 ÁGUAS, INCLUSO TRANSPORTE VERTICAL. AF_07/2019</t>
  </si>
  <si>
    <t>QUIOSQUE</t>
  </si>
  <si>
    <t>AREA=</t>
  </si>
  <si>
    <t>ORSE</t>
  </si>
  <si>
    <t>5.5</t>
  </si>
  <si>
    <t>5.7</t>
  </si>
  <si>
    <t>4.3</t>
  </si>
  <si>
    <t>4.4</t>
  </si>
  <si>
    <t>ED-28427</t>
  </si>
  <si>
    <t>ED-49197</t>
  </si>
  <si>
    <t>ED-51148</t>
  </si>
  <si>
    <t xml:space="preserve">LUMINARIA LED REFLETOR RETANGULAR BIVOLT, LUZ BRANCA, 30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</si>
  <si>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Ponto de luz em teto ou parede, com canaleta plastica c/divisoria 20x10mm, aparente</t>
  </si>
  <si>
    <t>00639/ORSE</t>
  </si>
  <si>
    <t>3.6</t>
  </si>
  <si>
    <t>ESCAVAÇÃO MANUAL DE TERRA (DESATERRO MANUAL)</t>
  </si>
  <si>
    <t>ED-51110</t>
  </si>
  <si>
    <t>VOLU=</t>
  </si>
  <si>
    <t>FORNECIMENTO DE CONCRETO ESTRUTURAL, PREPARADO EM
OBRA COM BETONEIRA, COM FCK 25 MPA, INCLUSIVE
LANÇAMENTO, ADENSAMENTO E ACABAMENTO (FUNDAÇÃO)</t>
  </si>
  <si>
    <t>ED-49787</t>
  </si>
  <si>
    <t>4.5</t>
  </si>
  <si>
    <t>4.6</t>
  </si>
  <si>
    <t>CUMEEIRA E ESPIGÃO PARA TELHA CERÂMICA EMBOÇADA COM ARGAMASSA TRAÇO 1:2:9 (CIMENTO, CAL E AREIA), PARA TELHADOS COM MAIS DE 2 ÁGUAS, INCLUSO TRANSPORTE VERTICAL. AF_07/2019</t>
  </si>
  <si>
    <t>LOCAÇÃO DE OBRA COM GABARITO DE TÁBUAS CORRIDAS
PONTALETADAS A CADA 2,00M, REAPROVEITAMENTO (2X),
INCLUSIVE ACOMPANHAMENTO DE EQUIPE TOPOGRÁFICA PARA
MARCAÇÃO DE PONTO TOPOGRÁFICO</t>
  </si>
  <si>
    <t>ED-17989</t>
  </si>
  <si>
    <t>QUIOSQUE:</t>
  </si>
  <si>
    <t>ED-49812</t>
  </si>
  <si>
    <t xml:space="preserve">Uma unidade </t>
  </si>
  <si>
    <r>
      <t>A = 6l²√3/4</t>
    </r>
    <r>
      <rPr>
        <sz val="10"/>
        <color rgb="FF202124"/>
        <rFont val="Arial"/>
        <family val="2"/>
      </rPr>
      <t>.</t>
    </r>
  </si>
  <si>
    <t xml:space="preserve">3,50 (COMPRIMENTO DE CADA PILAR) X 6 : 21 M </t>
  </si>
  <si>
    <t>(0,50 X 0,50 X 0,50) X 6 : 0,75 M3</t>
  </si>
  <si>
    <t xml:space="preserve">2 unidades conforme o projeto </t>
  </si>
  <si>
    <r>
      <t>Município:</t>
    </r>
    <r>
      <rPr>
        <sz val="11"/>
        <rFont val="Arial"/>
        <family val="2"/>
      </rPr>
      <t xml:space="preserve">  São João das Missões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MG</t>
    </r>
  </si>
  <si>
    <t>96385</t>
  </si>
  <si>
    <t>6081</t>
  </si>
  <si>
    <t>1.3</t>
  </si>
  <si>
    <t xml:space="preserve">ARGILA OU BARRO PARA ATERRO/REATERRO (COM TRANSPORTE ATE 10 KM) - 20 cm                                  </t>
  </si>
  <si>
    <t>EXECUÇÃO E COMPACTAÇÃO DE ATERRO COM SOLO PREDOMINANTEMENTE ARGILOSO - EXCLUSIVE SOLO, ESCAVAÇÃO, CARGA E TRANSPORTE. AF_11/2019 - 20 cm</t>
  </si>
  <si>
    <t>Gerrard Tayon Ferreira Lopo</t>
  </si>
  <si>
    <t xml:space="preserve">Gerrard Tayon Ferreira Lopo </t>
  </si>
  <si>
    <t>PISO CIMENTADO NATADO COM ARGAMASSA, TRAÇO 1:3 (
CIMENTO E AREIA), ESP. 25MM, ACABAMENTO QUEIMADO,
MODULAÇÃO DE 200X200CM, INCLUSIVE JUNTA PLÁSTICA</t>
  </si>
  <si>
    <t>ED-50556</t>
  </si>
  <si>
    <t>VIGA 0,10 A 0,20 M DE LARGURA, CONCRETO 1:2:4 COM ARMAÇÃO
 E FORMA RESINADA</t>
  </si>
  <si>
    <t>ED-48336</t>
  </si>
  <si>
    <t>4.7</t>
  </si>
  <si>
    <t>1.4</t>
  </si>
  <si>
    <t xml:space="preserve">Pilar de madeira roliça, eucalipto ou equivalente da região, fixado com vergalhão, diâmetro de 21 a 29 cm, apoio articulado, comprimento de 6 m. af_03/2024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</si>
  <si>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13444/ORSE</t>
  </si>
  <si>
    <t>Fabricação e instalação de tesoura inteira em madeira não aparelhada, vão de 8 m, para telha ondulada de fibrocimento, metálica, plástica ou termoacústica, incluso içamento. af_07/2019</t>
  </si>
  <si>
    <t>4.8</t>
  </si>
  <si>
    <t>ALVENARIA DE VEDAÇÃO COM TIJOLO CERÂMICO FURADO, ESP.
19CM, PARA REVESTIMENTO, INCLUSIVE ARGAMASSA PARA
ASSENTAMENTO</t>
  </si>
  <si>
    <t>ED-48233</t>
  </si>
  <si>
    <t>REBOCO COM ARGAMASSA, TRAÇO 1:2:8 (CIMENTO, CAL E AREIA)
, ESP. 20MM, APLICAÇÃO MANUAL, INCLUSIVE ARGAMASSA COM
PREPARO MECANIZADO, EXCLUSIVE CHAPISCO</t>
  </si>
  <si>
    <t>ED-50761</t>
  </si>
  <si>
    <t>CHAPISCO COM ARGAMASSA, TRAÇO 1:2:3 (CIMENTO, AREIA E
PEDRISCO), APLICADO COM COLHER, ESP. 5MM, INCLUSIVE
ARGAMASSA COM PREPARO MECANIZADO</t>
  </si>
  <si>
    <t>ED-50730</t>
  </si>
  <si>
    <t>PINTURA ACRÍLICA EM PAREDE, DUAS (2) DEMÃOS, EXCLUSIVE
SELADOR ACRÍLICO E MASSA ACRÍLICA/CORRIDA (PVA)</t>
  </si>
  <si>
    <t>ED-50451</t>
  </si>
  <si>
    <t xml:space="preserve"> PREPARAÇÃO PARA EMASSAMENTO OU PINTURA (LÁTEX/
ACRÍLICA) EM PAREDE, INCLUSIVE UMA (1) DEMÃO DE SELADOR
ACRÍLICO</t>
  </si>
  <si>
    <t>ED-50514</t>
  </si>
  <si>
    <t xml:space="preserve"> PINTURA ACRÍLICA PARA PISO EM PASSEIO/SUPERFÍCIE
CIMENTADA, DUAS (2) DEMÃOS</t>
  </si>
  <si>
    <t>ED-50459</t>
  </si>
  <si>
    <t>Lâmpada led 50w de potência, luz branca bivolt, marca LLum ou similar</t>
  </si>
  <si>
    <t>13285/ORSE</t>
  </si>
  <si>
    <t>Plafon plastico branco com soquete E-27</t>
  </si>
  <si>
    <t>08518/ORSE</t>
  </si>
  <si>
    <t xml:space="preserve">4,00 (COMPRIMENTO) X 6 : 24,00 M </t>
  </si>
  <si>
    <t>Area de um hexagano =A = 6((l²√3)/4)                                                                                                            (((4*4)*√3)/4)*6 : 41,52</t>
  </si>
  <si>
    <t>Madeiramento em eucalípto tratado, acabamento serrado, c/ ripão 2,5 x 7,5cm e ripa 2,5 x 5cm, exclusive peças principais</t>
  </si>
  <si>
    <t>1 UNIDADE</t>
  </si>
  <si>
    <t xml:space="preserve">(3,70  X 5) X 0,2 X 0,2 </t>
  </si>
  <si>
    <t>LASTRO DE CONCRETO MAGRO, INCLUSIVE TRANSPORTE,
LANÇAMENTO E ADENSAMENTO - 5 CM ESPESSURA</t>
  </si>
  <si>
    <t>ENTRADA DE ENERGIA AÉREA, TIPO B1, PADRÃO CEMIG, CARGA
INSTALADA DE ATÉ 10KW, BIFÁSICO, COM SAÍDA SUBTERRÂNEA,
INCLUSIVE POSTE, CAIXA PARA MEDIDOR, DISJUNTOR,
BARRAMENTO, ATERRAMENTO E ACESSÓRIOS</t>
  </si>
  <si>
    <t>3,7 * 5</t>
  </si>
  <si>
    <t xml:space="preserve">ARGILA OU BARRO PARA ATERRO/REATERRO (COM TRANSPORTE ATE 10 KM) - 20 cm                        </t>
  </si>
  <si>
    <t>38,35 * 0,2</t>
  </si>
  <si>
    <t>38,35 * 0,05</t>
  </si>
  <si>
    <t>Area da quiosque: 38,35</t>
  </si>
  <si>
    <t xml:space="preserve">LUMINARIA LED REFLETOR RETANGULAR BIVOLT, LUZ BRANCA, 30 W        </t>
  </si>
  <si>
    <t xml:space="preserve">5 unidades conforme o projeto </t>
  </si>
  <si>
    <t xml:space="preserve">Plafon plastico branco com soquete E-27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</si>
  <si>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 unidades conforme o projeto </t>
  </si>
  <si>
    <t xml:space="preserve">6 unidades conforme o projeto </t>
  </si>
  <si>
    <t>((3,7*5)*0,6)-(1*0,6)-(1*0,6)</t>
  </si>
  <si>
    <t>AREA: 24,24</t>
  </si>
  <si>
    <r>
      <t>Responsável Técnico:</t>
    </r>
    <r>
      <rPr>
        <sz val="11"/>
        <rFont val="Arial"/>
        <family val="2"/>
      </rPr>
      <t xml:space="preserve"> Gerrard Tayon Ferreira Lopo CREA MG 289963</t>
    </r>
  </si>
  <si>
    <t>CREA: 289963</t>
  </si>
  <si>
    <t>AREA: 38,35</t>
  </si>
  <si>
    <t>Quiosque Na Aldeia Indigena Terra Preta</t>
  </si>
  <si>
    <t>6.0</t>
  </si>
  <si>
    <t>KG</t>
  </si>
  <si>
    <t>96527</t>
  </si>
  <si>
    <t>96556</t>
  </si>
  <si>
    <t>PISO</t>
  </si>
  <si>
    <t>2.3</t>
  </si>
  <si>
    <t>2.4</t>
  </si>
  <si>
    <t>2.5</t>
  </si>
  <si>
    <t>2.6</t>
  </si>
  <si>
    <t>2.7</t>
  </si>
  <si>
    <t>SUB TOTAL</t>
  </si>
  <si>
    <t>4.9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</si>
  <si>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</si>
  <si>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</si>
  <si>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</si>
  <si>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</si>
  <si>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</si>
  <si>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</si>
  <si>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</si>
  <si>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</si>
  <si>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</si>
  <si>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2 UNIDADE</t>
  </si>
  <si>
    <t>Luminaria de teto plafon/plafonier em plastico com base e27, potencia maxima 60 w (nao inclui lampada)</t>
  </si>
  <si>
    <t>38773</t>
  </si>
  <si>
    <t>PISO EM CONCRETO USINADO CONVENCIONAL COM DE FCK
 15MPA, COM TELA SOLDADA NERVURADA TIPO Q-138,
 ACABAMENTO POLÍDO EM NÍVEL ZERO, ESP. 12CM, INCLUSIVE
 FORNECIMENTO, LANÇAMENTO, ADENSAMENTO, EXCLUSIVE
 JUNTA DE DILATAÇÃO</t>
  </si>
  <si>
    <t xml:space="preserve"> ED-9321</t>
  </si>
  <si>
    <t>PISO CIMENTADO NATADO COM ARGAMASSA, ACABAMENTO
 QUEIMADO, TRAÇO 1:3 (CIMENTO E AREIA), ESP. 25MM,
 MODULAÇÃO DE (200X200)CM, INCLUSIVE JUNTA PLÁSTICA</t>
  </si>
  <si>
    <t xml:space="preserve"> ED-50556</t>
  </si>
  <si>
    <t>AREIA FINA - POSTO JAZIDA/FORNECEDOR (RETIRADO NA JAZIDA, SEM TRANSPORTE)</t>
  </si>
  <si>
    <t>366</t>
  </si>
  <si>
    <t>TRANSPORTE DE MATERIAL DE QUALQUER NATUREZA EM
 CAMINHÃO, DISTÂNCIA MAIORES QUE 30KM, DENTRO DO
 PERÍMETRO URBANO, EXCLUSIVE CARGA, INCLUSIVE DESCARGA</t>
  </si>
  <si>
    <t>ED-29235</t>
  </si>
  <si>
    <t xml:space="preserve"> COMPOSIÇÕES </t>
  </si>
  <si>
    <t>FONTE</t>
  </si>
  <si>
    <t>CÓDIGO</t>
  </si>
  <si>
    <t>UNIDADE</t>
  </si>
  <si>
    <t>COEFIC.</t>
  </si>
  <si>
    <t>UNITÁRIO</t>
  </si>
  <si>
    <t>DESONERADO</t>
  </si>
  <si>
    <t>CPU</t>
  </si>
  <si>
    <t>und</t>
  </si>
  <si>
    <t>88316</t>
  </si>
  <si>
    <t>SERVENTE COM ENCARGOS COMPLEMENTARES</t>
  </si>
  <si>
    <t>QUIOSQUE COM MADEIRA ROLIÇA TRATADA, D= 25 A 29 CM, COM 4 BANCOS DE CONCRETO FORECIMENTO E INSTALAÇÃO</t>
  </si>
  <si>
    <t>2794</t>
  </si>
  <si>
    <t xml:space="preserve">MADEIRA ROLICA TRATADA, D = 25 A 29 CM, H = 6,50 M, EM EUCALIPTO OU EQUIVALENTE DA REGIAO  </t>
  </si>
  <si>
    <t>92540</t>
  </si>
  <si>
    <t>TRAMA DE MADEIRA COMPOSTA POR RIPAS, CAIBROS E TERÇAS PARA TELHADOS DE MAIS QUE 2 ÁGUAS PARA TELHA DE ENCAIXE DE CERÂMICA OU DE CONCRETO, INCLUSO TRANSPORTE VERTICAL. AF_07/2019</t>
  </si>
  <si>
    <t>94198</t>
  </si>
  <si>
    <t>TELHAMENTO COM TELHA CERÂMICA DE ENCAIXE, TIPO PORTUGUESA, COM MAIS DE 2 ÁGUAS, INCLUSO TRANSPORTE VERTICAL. AF_07/2019</t>
  </si>
  <si>
    <t>94221</t>
  </si>
  <si>
    <t>CUMEEIRA PARA TELHA CERÂMICA EMBOÇADA COM ARGAMASSA TRAÇO 1:2:9 (CIMENTO, CAL E AREIA) PARA TELHADOS COM ATÉ 2 ÁGUAS, INCLUSO TRANSPORTE VERTICAL. AF_07/2019</t>
  </si>
  <si>
    <t>01561/ORSE</t>
  </si>
  <si>
    <t>Madeira massaranduba serrada</t>
  </si>
  <si>
    <t>09859/ORSE</t>
  </si>
  <si>
    <t>Assentamento de peças de eucalipto tratado, d=5 a 7cm para confecção de pergolado (ref:obra Sergipetec)</t>
  </si>
  <si>
    <t>02444/ORSE</t>
  </si>
  <si>
    <t>Banco em tubo de concreto simples 0.30 m, com assento em concreto desempolado (e=5 cm), pintado com tinta acrílica novacor ou similar</t>
  </si>
  <si>
    <t>96522</t>
  </si>
  <si>
    <t>ESCAVAÇÃO MANUAL PARA BLOCO DE COROAMENTO OU SAPATA (SEM ESCAVAÇÃO PARA COLOCAÇÃO DE FÔRMAS). AF_06/2017</t>
  </si>
  <si>
    <t>CONCRETAGEM DE SAPATAS, FCK 30 MPA, COM USO DE JERICA  LANÇAMENTO, ADENSAMENTO E ACABAMENTO. AF_06/2017</t>
  </si>
  <si>
    <t>h</t>
  </si>
  <si>
    <t>___________________________________________</t>
  </si>
  <si>
    <t>GERRARD TAYON FERREIRA LOPO</t>
  </si>
  <si>
    <t>CREA:  289963</t>
  </si>
  <si>
    <t>ESCAVAÇÃO MANUAL DE VALA PARA VIGA BALDRAME (INCLUINDO ESCAVAÇÃO PARA COLOCAÇÃO DE FÔRMAS). AF_06/2017</t>
  </si>
  <si>
    <t>FÔRMA E DESFORMA DE TÁBUA E SARRAFO, REAPROVEITAMENTO (3X) (FUNDAÇÃO)</t>
  </si>
  <si>
    <t>ED-49810</t>
  </si>
  <si>
    <t>PRAÇA ALDEIA PEDRA REDONDA</t>
  </si>
  <si>
    <t xml:space="preserve"> RO-00540</t>
  </si>
  <si>
    <t>Armação em aço CA-50 - fornecimento, preparo e colocação - 8.00 MM</t>
  </si>
  <si>
    <t xml:space="preserve"> ED-49786</t>
  </si>
  <si>
    <t>FORNECIMENTO DE CONCRETO ESTRUTURAL, PREPARADO EM
 OBRA COM BETONEIRA, COM FCK 20MPA, INCLUSIVE
 LANÇAMENTO, ADENSAMENTO E ACABAMENTO (FUNDAÇÃO)</t>
  </si>
  <si>
    <t>BALDRAME / CERCAMENTO:</t>
  </si>
  <si>
    <t>PRAÇA PEDRA REDONDA</t>
  </si>
  <si>
    <t>SERVIÇOS PRELIMINARES:</t>
  </si>
  <si>
    <t xml:space="preserve"> ALAMBRADO PARA QUADRA ESPORTIVA, EM TELA DE ARAME
 GALVANIZADO COM TRAMA LOSANGULAR DE 2" (50,8MM) E FIO
 BWG12 (2,77MM), EXCLUSIVE PINTURA, INCLUSIVE FIXAÇÃO E
 FORNECIMENTO EM QUADROS DE TUBOS DE AÇO CARBONO
 GALVANIZADO DIÂMETRO DE 50MM (2")</t>
  </si>
  <si>
    <t>ED-9100</t>
  </si>
  <si>
    <t>ED-50986</t>
  </si>
  <si>
    <t>PORTÃO EM TUBO DE AÇO GALVANIZADO COM COSTURA,
 DIÂMETRO DE 1.1/2" (38,1MM), ESP. 2MM, COM TELA
 QUADRICULADA ONDULADA, TRAMA DE 1/2" (12,70MM), FIO 12 (2,
 77MM), EXCLUSIVE CADEADO E PINTURA</t>
  </si>
  <si>
    <t>PINTURA ESMALTE BASE SOLVENTE EM ESTRUTURA DE AÇO
 CARBONO, DUAS (2) DEMÃOS, COM APLICAÇÃO MANUAL,
 EXCLUSIVE FUNDO ANTICORROSIVO E PREPARAÇÃO DA
 SUPERFÍCIE COM LIXAMENTO</t>
  </si>
  <si>
    <t xml:space="preserve"> ED-50492</t>
  </si>
  <si>
    <t>PINTURA EPÓXI EM PISO, DUAS (2) DEMÃOS, COM APLICAÇÃO
 MANUAL, INCLUSIVE UMA (1) DEMÃO DE PRIMER EPÓXI</t>
  </si>
  <si>
    <t>ED-9934</t>
  </si>
  <si>
    <t>CPU - 01</t>
  </si>
  <si>
    <t>CPU-01</t>
  </si>
  <si>
    <t>3 UNIDADES</t>
  </si>
  <si>
    <t>Ponto de luz em teto ou parede, com eletroduto pvc rígido embutido Ø 3/4"</t>
  </si>
  <si>
    <t>00642/ORSE</t>
  </si>
  <si>
    <t>DISJUNTOR BIPOLAR TIPO DIN, CORRENTE NOMINAL DE 63A,
 FORNECIMENTO E INSTALAÇÃO, INCLUSIVE TERMINAL ILHÓS</t>
  </si>
  <si>
    <t>ED-34480</t>
  </si>
  <si>
    <t>13668/ORSE</t>
  </si>
  <si>
    <t>Poste de aço galv. cônico contínuPoste de Aço para Jardim, altura 3m/4m, com tubo diam. = 64mm</t>
  </si>
  <si>
    <t>13558/ORSE</t>
  </si>
  <si>
    <t>Suporte de fixação em chapa de aço galvanizado, para 03 luminária, encaixe em poste com topo de Ø de 48mm/60,3mm externo, Codigo SUP03, da AMES ILUMINAÇÃO ou similar</t>
  </si>
  <si>
    <t>101632</t>
  </si>
  <si>
    <t>RELÉ FOTOELÉTRICO PARA COMANDO DE ILUMINAÇÃO EXTERNA 1000 W - FORNECIMENTO E INSTALAÇÃO. AF_08/2020</t>
  </si>
  <si>
    <t>88309</t>
  </si>
  <si>
    <t>PEDREIRO COM ENCARGOS COMPLEMENTARES</t>
  </si>
  <si>
    <t>00095/ORSE</t>
  </si>
  <si>
    <t>Concreto simples fabricado na obra, fck=13,5 mpa, lançado e adensado</t>
  </si>
  <si>
    <t>02497/ORSE</t>
  </si>
  <si>
    <t>Escavação manual de vala ou cava em material de 1ª categoria, profundidade até 1,50m</t>
  </si>
  <si>
    <t>Luminaria em LED p/ iluminação pública LED SMD AUTOVOLT 150 W, 5.000 K, IP-66, IRC 70, FP&gt;0,95, 160lm/w,24.000 lm e 54.000h, com base para Relé 3 PINOS, dimerizável, modelo GL421 G-Light ou similar</t>
  </si>
  <si>
    <t>13560/ORSE</t>
  </si>
  <si>
    <t>CPU-02</t>
  </si>
  <si>
    <t>CPU - 02</t>
  </si>
  <si>
    <t>Brinquedo - Gangorra em estrutura de concreto, tubo de ferro galvanizado de 3" e 4" e assento de madeira, com 03 pranchas</t>
  </si>
  <si>
    <t>09159/ORSE</t>
  </si>
  <si>
    <t>Brinquedo - Gira-gira (carrossel ø=1,70m), em tubo de ferro galvanizado de 1 1/2" e assento em chapa galvanizada e=1/4", sergipark ou similar</t>
  </si>
  <si>
    <t>09160/ORSE</t>
  </si>
  <si>
    <t>Brinquedo - Balanço Duplo, modelo M117, da Lúdico Brinquedos Inteligentes ou similar</t>
  </si>
  <si>
    <t>13082/ORSE</t>
  </si>
  <si>
    <t>FORNECIMENTO E INSTALAÇÃO DE ESCORREGADOR MÉDIO
 METÁLICO PARA PARQUE INFANTIL, FIXADO COM CONCRETO
 NÃO ESTRUTURAL, PREPARADO EM OBRA COM BETONEIRA, COM
 FCK 15 MPA , INCLUSIVE ESCAVAÇÃO E TRANSPORTE COM
 RETIRADA DO MATERIAL ESCAVADO (EM CAÇAMBA)</t>
  </si>
  <si>
    <t>ED-49575</t>
  </si>
  <si>
    <t>Brinquedo - Labirinto (trepa-trepa) em tubo ferro galv d=1 1/2" na horizontal e d=1 1/2" na vertical. Dim:1,54x1,54x2,04m, ref: Sergipark ou similar</t>
  </si>
  <si>
    <t>09165/ORSE</t>
  </si>
  <si>
    <t>4.10</t>
  </si>
  <si>
    <t>4.11</t>
  </si>
  <si>
    <t>4.12</t>
  </si>
  <si>
    <t>88 PERIMETRO</t>
  </si>
  <si>
    <t xml:space="preserve">(88+24+10) COMP. X 0,10 FUN X 0,15 LARG. </t>
  </si>
  <si>
    <t xml:space="preserve">(88+24+10) COMP. X 0,25 ALTURA X 2 DOIS LADOS. </t>
  </si>
  <si>
    <t>122 COMP. X 4 BARRAS X 0,395</t>
  </si>
  <si>
    <t>(88+24+10) COMP. X 0,25 ALTURA X 0,15 LARG.</t>
  </si>
  <si>
    <t xml:space="preserve">(24+10+24+10+10) COMPR. X 1,20 ALTURA </t>
  </si>
  <si>
    <t>(0,90 X 1,20) X 2 PPORTÕES</t>
  </si>
  <si>
    <t>(93,60 X 2) + (2,70 X 2)</t>
  </si>
  <si>
    <t>24 LARG. X 10 COMP.</t>
  </si>
  <si>
    <t xml:space="preserve">24 LARG. X 10 COMP. X 15 ALT. X </t>
  </si>
  <si>
    <t>24 LARG. X 10 COMP. X 15 ALT. X 24 KM DISTANCIA ATE A DRAGA</t>
  </si>
  <si>
    <t>2 UNIDADES</t>
  </si>
  <si>
    <t>POSTE DE VÔLEI OU PETECA OFICIAL (PAR) COM REDE, EM TUBO
 DE AÇO, DIÂMETRO DE 3", TIPO TELESCÓPICO, INCLUSIVE
 TRATAMENTO ANTICORROSIVO E PINTURA</t>
  </si>
  <si>
    <t xml:space="preserve"> ED-49572</t>
  </si>
  <si>
    <t>4.13</t>
  </si>
  <si>
    <t>5.8</t>
  </si>
  <si>
    <t>5.9</t>
  </si>
  <si>
    <t>5.10</t>
  </si>
  <si>
    <t>5.11</t>
  </si>
  <si>
    <t>5.12</t>
  </si>
  <si>
    <t>5.13</t>
  </si>
  <si>
    <t xml:space="preserve">MADEIRA ROLICA TRATADA, D = 25 A 29 CM, H = 6,50 M, EM EUCALIPTO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</si>
  <si>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CHAPISCO COM ARGAMASSA, TRAÇO 1:2:3 (CIMENTO, AREIA E
 PEDRISCO), APLICADO COM COLHER, ESP. 5MM, INCLUSIVE
 ARGAMASSA COM PREPARO MECANIZADO</t>
  </si>
  <si>
    <t>REBOCO COM ARGAMASSA, TRAÇO 1:7 (CIMENTO E AREIA), ESP.
 20MM, APLICAÇÃO MANUAL, INCLUSIVE ARGAMASSA COM
 PREPARO MECANIZADO, EXCLUSIVE CHAPISCO</t>
  </si>
  <si>
    <t xml:space="preserve"> ED-50759</t>
  </si>
  <si>
    <t>ALVENARIA DE VEDAÇÃO DE BLOCOS CERÂMICOS FURADOS NA HORIZONTAL DE 9X19X19 CM (ESPESSURA 9 CM) E ARGAMASSA DE ASSENTAMENTO COM PREPARO EM BETONEIRA. AF_12/2021</t>
  </si>
  <si>
    <t>PREPARAÇÃO PARA EMASSAMENTO OU PINTURA (LÁTEX/
 ACRÍLICA) EM PAREDE, INCLUSIVE UMA (1) DEMÃO DE SELADOR
 ACRÍLICO</t>
  </si>
  <si>
    <t>PINTURA ACRÍLICA EM PAREDE, DUAS (2) DEMÃOS, COM
 APLICAÇÃO MANUAL, EXCLUSIVE SELADOR ACRÍLICO E MASSA
 ACRÍLICA/CORRIDA (PVA)</t>
  </si>
  <si>
    <t xml:space="preserve"> ED-50451</t>
  </si>
  <si>
    <t>Area de um hexagano =A = 6((l²√3)/4)                                                                                                            (((4,16*4,16)*√3)/4)*6 : 44,91</t>
  </si>
  <si>
    <t>Area de um hexagano =A = 6((l²√3)/4)                                                                                                            (((4*4)*√3)/4)*6 : 44,91</t>
  </si>
  <si>
    <t xml:space="preserve">4,16 (COMPRIMENTO) X 6 : 24,96 M </t>
  </si>
  <si>
    <t xml:space="preserve">(3,43  X 6) X 0,15 X 0,2 </t>
  </si>
  <si>
    <t>((3,43  X 6) X 1 ) - ((1 X 1) X 2)</t>
  </si>
  <si>
    <t>((3,43  X 6) X 1 ) - ((1 X 1) X 2) + ((3,43 X 6) X 0,19)</t>
  </si>
  <si>
    <t>4.14</t>
  </si>
  <si>
    <t>4.15</t>
  </si>
  <si>
    <t>4.16</t>
  </si>
  <si>
    <t>1,00 UNIDADE</t>
  </si>
  <si>
    <t>Poste decorativo 2 pétalas, em aço galvanizado com difusor em vidro transparente temperado, com 3m/4m, inclusive lâmpada de led 150w, FORNECIMENTO E INSTALAÇÃO.</t>
  </si>
  <si>
    <t>8 UNIDADES</t>
  </si>
  <si>
    <t>Poste decorativo 1 pétalas, em aço galvanizado com difusor em vidro transparente temperado, com 3m/4m, inclusive lâmpada de led 50w</t>
  </si>
  <si>
    <t>12903/ORSE</t>
  </si>
  <si>
    <t>5.14</t>
  </si>
  <si>
    <t>11 UNIDADES</t>
  </si>
  <si>
    <t xml:space="preserve">13 unidades conforme o projeto </t>
  </si>
  <si>
    <t xml:space="preserve">MADEIRA ROLICA TRATADA, D = 25 A 29 CM, H = 6,50 M, EM EUCALIPTO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</si>
  <si>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Data:</t>
    </r>
    <r>
      <rPr>
        <sz val="11"/>
        <rFont val="Arial"/>
        <family val="2"/>
      </rPr>
      <t xml:space="preserve"> 14/07/2025</t>
    </r>
  </si>
  <si>
    <t>PLAYGROUND / CONTRA PISO:</t>
  </si>
  <si>
    <t>LASTRO DE CONCRETO MAGRO, INCLUSIVE TRANSPORTE,
LANÇAMENTO E ADENSAMENTO - 6 CM ESPESSURA</t>
  </si>
  <si>
    <t>PINTURA ACRÍLICA PARA PISO EM PASSEIO/SUPERFÍCIE
 CIMENTADA, DUAS (2) DEMÃOS, COM APLICAÇÃO MANUA</t>
  </si>
  <si>
    <t xml:space="preserve"> ED-50459</t>
  </si>
  <si>
    <t>6.10</t>
  </si>
  <si>
    <t>6.11</t>
  </si>
  <si>
    <t>6.12</t>
  </si>
  <si>
    <t>6.13</t>
  </si>
  <si>
    <t>6.14</t>
  </si>
  <si>
    <t>6.15</t>
  </si>
  <si>
    <t>6.16</t>
  </si>
  <si>
    <t>6.17</t>
  </si>
  <si>
    <t xml:space="preserve">(57) COMP. X 0,10 FUN X 0,15 LARG. </t>
  </si>
  <si>
    <t xml:space="preserve">(57) COMP. X 0,25 ALTURA X 2 DOIS LADOS. </t>
  </si>
  <si>
    <t>57 COMP. X 4 BARRAS X 0,395</t>
  </si>
  <si>
    <t>(57) COMP. X 0,25 ALTURA X 0,15 LARG.</t>
  </si>
  <si>
    <t xml:space="preserve">(10+10+8+8) COMPR. X 1,20 ALTURA </t>
  </si>
  <si>
    <t xml:space="preserve">(0,90 X 1,20) </t>
  </si>
  <si>
    <t>(43,20 X 2) + (1,08 )</t>
  </si>
  <si>
    <t>6,50 x 8,00</t>
  </si>
  <si>
    <t>6,50 x 8,00 x 0,06</t>
  </si>
  <si>
    <t>(10 x 8) x 0,15</t>
  </si>
  <si>
    <t>(10 x 8) x 0,15 x 24 distancia</t>
  </si>
  <si>
    <t>14 de Julho de 2025</t>
  </si>
  <si>
    <t>CRONOGRAMA FÍSICO-FINANCEIRO</t>
  </si>
  <si>
    <t>FÍSICO/
FINANCEIRO</t>
  </si>
  <si>
    <t>MÊS 01</t>
  </si>
  <si>
    <t>MÊS 02</t>
  </si>
  <si>
    <t>MÊS 03</t>
  </si>
  <si>
    <t>MÊS 04</t>
  </si>
  <si>
    <t>____________________________________________________________________________</t>
  </si>
  <si>
    <t>___________________________________________________</t>
  </si>
  <si>
    <t>Engenheiro Responsável</t>
  </si>
  <si>
    <t>Data: 14/07/2025</t>
  </si>
  <si>
    <t>SERVIÇOS PRELIMENARES</t>
  </si>
  <si>
    <t xml:space="preserve">PISO </t>
  </si>
  <si>
    <t>ILUMINAÇÃO</t>
  </si>
  <si>
    <t>SERVIÇOS COMPLEMENTARES</t>
  </si>
  <si>
    <t>BALDRAME / CERCAMENTO</t>
  </si>
  <si>
    <t>PRAÇA ALDEIA RIACHO COMPRIDO</t>
  </si>
  <si>
    <r>
      <t>Projeto:</t>
    </r>
    <r>
      <rPr>
        <sz val="11"/>
        <rFont val="Arial"/>
        <family val="2"/>
      </rPr>
      <t xml:space="preserve"> Construção de uma Quiosque Na Aldeia Indigena Terra Preta e Praça  / Construção de uma Praça na Aldeia Riacho Comprido / Construção de uma Praça na Aldeia Pedra Redonda </t>
    </r>
  </si>
  <si>
    <t>Prazo de Execução: 120 Dias</t>
  </si>
  <si>
    <r>
      <t>Prazo de Execução:</t>
    </r>
    <r>
      <rPr>
        <sz val="11"/>
        <rFont val="Arial"/>
        <family val="2"/>
      </rPr>
      <t xml:space="preserve"> 120 Dias</t>
    </r>
  </si>
  <si>
    <r>
      <t xml:space="preserve">Prazo de Execução: </t>
    </r>
    <r>
      <rPr>
        <sz val="11"/>
        <rFont val="Arial"/>
        <family val="2"/>
      </rPr>
      <t xml:space="preserve">120 dias </t>
    </r>
  </si>
  <si>
    <r>
      <t>Projeto:</t>
    </r>
    <r>
      <rPr>
        <sz val="11"/>
        <rFont val="Arial"/>
        <family val="2"/>
      </rPr>
      <t xml:space="preserve">  Construção de uma Quiosque Na Aldeia Indigena Terra Preta e Praça  / Construção de Praça na Aldeia Riacho Comprido / Construção de uma Praça na Aldeia Pedra Redonda </t>
    </r>
  </si>
  <si>
    <t xml:space="preserve">Projeto:  Construção de uma Quiosque Na Aldeia Indigena Terra Preta e Praça  / Construção de Praça na Aldeia Riacho Comprido / Construção de uma Praça na Aldeia Pedra Redonda </t>
  </si>
  <si>
    <t xml:space="preserve">Projeto: Construção de uma Quiosque Na Aldeia Indigena Terra Preta e Praça  / Construção de Praça na Aldeia Riacho Comprido / Construção de uma Praça na Aldeia Pedra Redonda </t>
  </si>
  <si>
    <t>Valor: 609.453,47 Reias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</si>
</sst>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mmmm/yy"/>
    <numFmt numFmtId="166" formatCode="#,##0.000_);\(#,##0.000\)"/>
    <numFmt numFmtId="167" formatCode="&quot;R$&quot;\ 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0"/>
      <color rgb="FF202124"/>
      <name val="Arial"/>
      <family val="2"/>
    </font>
    <font>
      <sz val="10"/>
      <color rgb="FF202124"/>
      <name val="Arial"/>
      <family val="2"/>
    </font>
    <font>
      <sz val="10"/>
      <name val="Courier"/>
    </font>
    <font>
      <b/>
      <sz val="16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6" fontId="24" fillId="0" borderId="0"/>
    <xf numFmtId="0" fontId="3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44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9" fontId="8" fillId="0" borderId="34" xfId="2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2" fontId="8" fillId="3" borderId="29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4" fontId="8" fillId="3" borderId="30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1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3" fillId="0" borderId="0" xfId="0" applyFont="1"/>
    <xf numFmtId="0" fontId="13" fillId="0" borderId="0" xfId="0" applyFont="1"/>
    <xf numFmtId="49" fontId="8" fillId="3" borderId="2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8" fillId="0" borderId="56" xfId="0" applyFont="1" applyBorder="1"/>
    <xf numFmtId="0" fontId="13" fillId="0" borderId="58" xfId="0" applyFont="1" applyBorder="1"/>
    <xf numFmtId="0" fontId="8" fillId="0" borderId="58" xfId="0" applyFont="1" applyBorder="1"/>
    <xf numFmtId="0" fontId="8" fillId="0" borderId="59" xfId="0" applyFont="1" applyBorder="1"/>
    <xf numFmtId="0" fontId="4" fillId="0" borderId="0" xfId="5" applyFont="1" applyAlignment="1">
      <alignment vertical="center"/>
    </xf>
    <xf numFmtId="0" fontId="3" fillId="0" borderId="0" xfId="5" applyAlignment="1">
      <alignment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" fontId="8" fillId="3" borderId="3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4" applyNumberFormat="1" applyFont="1" applyFill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 wrapText="1"/>
    </xf>
    <xf numFmtId="164" fontId="10" fillId="5" borderId="17" xfId="0" applyNumberFormat="1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39" fontId="10" fillId="3" borderId="36" xfId="4" applyNumberFormat="1" applyFont="1" applyFill="1" applyBorder="1" applyAlignment="1">
      <alignment horizontal="center" vertical="center"/>
    </xf>
    <xf numFmtId="164" fontId="10" fillId="3" borderId="62" xfId="0" applyNumberFormat="1" applyFont="1" applyFill="1" applyBorder="1" applyAlignment="1">
      <alignment horizontal="center" vertical="center" wrapText="1"/>
    </xf>
    <xf numFmtId="164" fontId="10" fillId="3" borderId="36" xfId="0" applyNumberFormat="1" applyFont="1" applyFill="1" applyBorder="1" applyAlignment="1">
      <alignment horizontal="center" vertical="center" wrapText="1"/>
    </xf>
    <xf numFmtId="0" fontId="3" fillId="0" borderId="0" xfId="16"/>
    <xf numFmtId="0" fontId="14" fillId="0" borderId="0" xfId="16" applyFont="1"/>
    <xf numFmtId="0" fontId="11" fillId="0" borderId="2" xfId="16" applyFont="1" applyBorder="1"/>
    <xf numFmtId="0" fontId="11" fillId="0" borderId="2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/>
    </xf>
    <xf numFmtId="0" fontId="14" fillId="0" borderId="2" xfId="16" applyFont="1" applyBorder="1"/>
    <xf numFmtId="10" fontId="14" fillId="0" borderId="2" xfId="16" applyNumberFormat="1" applyFont="1" applyBorder="1"/>
    <xf numFmtId="10" fontId="11" fillId="5" borderId="2" xfId="16" applyNumberFormat="1" applyFont="1" applyFill="1" applyBorder="1"/>
    <xf numFmtId="0" fontId="14" fillId="6" borderId="2" xfId="16" applyFont="1" applyFill="1" applyBorder="1"/>
    <xf numFmtId="10" fontId="4" fillId="6" borderId="65" xfId="16" applyNumberFormat="1" applyFont="1" applyFill="1" applyBorder="1"/>
    <xf numFmtId="10" fontId="11" fillId="6" borderId="65" xfId="16" applyNumberFormat="1" applyFont="1" applyFill="1" applyBorder="1"/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20" fillId="0" borderId="0" xfId="16" applyFont="1" applyAlignment="1">
      <alignment vertical="center"/>
    </xf>
    <xf numFmtId="0" fontId="4" fillId="0" borderId="0" xfId="16" applyFont="1" applyAlignment="1">
      <alignment vertical="top"/>
    </xf>
    <xf numFmtId="0" fontId="3" fillId="0" borderId="52" xfId="16" applyBorder="1"/>
    <xf numFmtId="0" fontId="3" fillId="0" borderId="53" xfId="16" applyBorder="1"/>
    <xf numFmtId="0" fontId="3" fillId="0" borderId="54" xfId="16" applyBorder="1"/>
    <xf numFmtId="0" fontId="3" fillId="0" borderId="55" xfId="16" applyBorder="1"/>
    <xf numFmtId="0" fontId="3" fillId="0" borderId="56" xfId="16" applyBorder="1"/>
    <xf numFmtId="0" fontId="14" fillId="0" borderId="55" xfId="16" applyFont="1" applyBorder="1"/>
    <xf numFmtId="0" fontId="14" fillId="0" borderId="56" xfId="16" applyFont="1" applyBorder="1"/>
    <xf numFmtId="0" fontId="11" fillId="0" borderId="16" xfId="16" applyFont="1" applyBorder="1"/>
    <xf numFmtId="0" fontId="14" fillId="0" borderId="66" xfId="16" applyFont="1" applyBorder="1"/>
    <xf numFmtId="0" fontId="14" fillId="0" borderId="16" xfId="16" applyFont="1" applyBorder="1"/>
    <xf numFmtId="0" fontId="0" fillId="0" borderId="56" xfId="0" applyBorder="1"/>
    <xf numFmtId="0" fontId="20" fillId="0" borderId="56" xfId="16" applyFont="1" applyBorder="1" applyAlignment="1">
      <alignment vertical="center"/>
    </xf>
    <xf numFmtId="0" fontId="11" fillId="0" borderId="16" xfId="16" applyFont="1" applyBorder="1" applyAlignment="1">
      <alignment horizontal="right"/>
    </xf>
    <xf numFmtId="0" fontId="14" fillId="0" borderId="55" xfId="16" applyFont="1" applyBorder="1" applyAlignment="1">
      <alignment vertical="top"/>
    </xf>
    <xf numFmtId="0" fontId="3" fillId="0" borderId="58" xfId="16" applyBorder="1"/>
    <xf numFmtId="0" fontId="3" fillId="0" borderId="59" xfId="16" applyBorder="1"/>
    <xf numFmtId="0" fontId="10" fillId="3" borderId="16" xfId="0" applyFont="1" applyFill="1" applyBorder="1" applyAlignment="1">
      <alignment horizontal="center" vertical="center"/>
    </xf>
    <xf numFmtId="164" fontId="10" fillId="5" borderId="3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55" xfId="0" applyFont="1" applyBorder="1"/>
    <xf numFmtId="0" fontId="10" fillId="0" borderId="0" xfId="0" applyFont="1"/>
    <xf numFmtId="0" fontId="22" fillId="0" borderId="0" xfId="0" applyFont="1"/>
    <xf numFmtId="0" fontId="10" fillId="0" borderId="4" xfId="0" applyFont="1" applyBorder="1"/>
    <xf numFmtId="0" fontId="10" fillId="3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8" fillId="3" borderId="51" xfId="0" applyNumberFormat="1" applyFont="1" applyFill="1" applyBorder="1" applyAlignment="1">
      <alignment horizontal="center" vertical="center" wrapText="1"/>
    </xf>
    <xf numFmtId="4" fontId="8" fillId="3" borderId="51" xfId="4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0" fontId="1" fillId="0" borderId="0" xfId="20"/>
    <xf numFmtId="0" fontId="26" fillId="10" borderId="26" xfId="21" applyFont="1" applyFill="1" applyBorder="1" applyAlignment="1">
      <alignment horizontal="center" vertical="center"/>
    </xf>
    <xf numFmtId="49" fontId="26" fillId="10" borderId="12" xfId="21" applyNumberFormat="1" applyFont="1" applyFill="1" applyBorder="1" applyAlignment="1">
      <alignment horizontal="center" vertical="center"/>
    </xf>
    <xf numFmtId="0" fontId="26" fillId="10" borderId="31" xfId="21" applyFont="1" applyFill="1" applyBorder="1" applyAlignment="1">
      <alignment vertical="center"/>
    </xf>
    <xf numFmtId="0" fontId="26" fillId="10" borderId="31" xfId="21" applyFont="1" applyFill="1" applyBorder="1" applyAlignment="1">
      <alignment horizontal="center" vertical="center"/>
    </xf>
    <xf numFmtId="4" fontId="26" fillId="10" borderId="69" xfId="21" applyNumberFormat="1" applyFont="1" applyFill="1" applyBorder="1" applyAlignment="1">
      <alignment horizontal="center" vertical="center"/>
    </xf>
    <xf numFmtId="49" fontId="27" fillId="11" borderId="23" xfId="20" applyNumberFormat="1" applyFont="1" applyFill="1" applyBorder="1" applyAlignment="1" applyProtection="1">
      <alignment horizontal="center" vertical="center" wrapText="1"/>
      <protection locked="0"/>
    </xf>
    <xf numFmtId="49" fontId="27" fillId="11" borderId="7" xfId="20" applyNumberFormat="1" applyFont="1" applyFill="1" applyBorder="1" applyAlignment="1" applyProtection="1">
      <alignment horizontal="center" vertical="center" wrapText="1"/>
      <protection locked="0"/>
    </xf>
    <xf numFmtId="49" fontId="27" fillId="11" borderId="7" xfId="20" applyNumberFormat="1" applyFont="1" applyFill="1" applyBorder="1" applyAlignment="1" applyProtection="1">
      <alignment vertical="center" wrapText="1"/>
      <protection locked="0"/>
    </xf>
    <xf numFmtId="0" fontId="27" fillId="12" borderId="7" xfId="20" applyFont="1" applyFill="1" applyBorder="1" applyAlignment="1">
      <alignment vertical="center"/>
    </xf>
    <xf numFmtId="4" fontId="27" fillId="12" borderId="7" xfId="20" applyNumberFormat="1" applyFont="1" applyFill="1" applyBorder="1" applyAlignment="1">
      <alignment horizontal="center" vertical="center"/>
    </xf>
    <xf numFmtId="4" fontId="27" fillId="12" borderId="24" xfId="20" applyNumberFormat="1" applyFont="1" applyFill="1" applyBorder="1" applyAlignment="1">
      <alignment horizontal="center" vertical="center"/>
    </xf>
    <xf numFmtId="49" fontId="16" fillId="13" borderId="33" xfId="20" applyNumberFormat="1" applyFont="1" applyFill="1" applyBorder="1" applyAlignment="1" applyProtection="1">
      <alignment horizontal="center" wrapText="1"/>
      <protection locked="0"/>
    </xf>
    <xf numFmtId="49" fontId="16" fillId="13" borderId="5" xfId="20" applyNumberFormat="1" applyFont="1" applyFill="1" applyBorder="1" applyAlignment="1" applyProtection="1">
      <alignment horizontal="center" wrapText="1"/>
      <protection locked="0"/>
    </xf>
    <xf numFmtId="0" fontId="16" fillId="0" borderId="5" xfId="20" applyFont="1" applyBorder="1" applyAlignment="1">
      <alignment horizontal="left" wrapText="1"/>
    </xf>
    <xf numFmtId="0" fontId="16" fillId="0" borderId="5" xfId="20" applyFont="1" applyBorder="1" applyAlignment="1">
      <alignment horizontal="center" wrapText="1"/>
    </xf>
    <xf numFmtId="0" fontId="16" fillId="13" borderId="5" xfId="20" applyFont="1" applyFill="1" applyBorder="1" applyAlignment="1" applyProtection="1">
      <alignment horizontal="center" wrapText="1"/>
      <protection locked="0"/>
    </xf>
    <xf numFmtId="4" fontId="16" fillId="0" borderId="5" xfId="20" applyNumberFormat="1" applyFont="1" applyBorder="1" applyAlignment="1">
      <alignment horizontal="center" wrapText="1"/>
    </xf>
    <xf numFmtId="4" fontId="16" fillId="0" borderId="17" xfId="20" applyNumberFormat="1" applyFont="1" applyBorder="1" applyAlignment="1">
      <alignment horizontal="center" wrapText="1"/>
    </xf>
    <xf numFmtId="49" fontId="16" fillId="13" borderId="16" xfId="20" applyNumberFormat="1" applyFont="1" applyFill="1" applyBorder="1" applyAlignment="1" applyProtection="1">
      <alignment horizontal="center" wrapText="1"/>
      <protection locked="0"/>
    </xf>
    <xf numFmtId="49" fontId="16" fillId="13" borderId="2" xfId="20" applyNumberFormat="1" applyFont="1" applyFill="1" applyBorder="1" applyAlignment="1" applyProtection="1">
      <alignment horizontal="center" wrapText="1"/>
      <protection locked="0"/>
    </xf>
    <xf numFmtId="0" fontId="16" fillId="0" borderId="2" xfId="20" applyFont="1" applyBorder="1" applyAlignment="1">
      <alignment horizontal="left" wrapText="1"/>
    </xf>
    <xf numFmtId="0" fontId="16" fillId="0" borderId="2" xfId="20" applyFont="1" applyBorder="1" applyAlignment="1">
      <alignment horizontal="center" wrapText="1"/>
    </xf>
    <xf numFmtId="0" fontId="16" fillId="13" borderId="2" xfId="20" applyFont="1" applyFill="1" applyBorder="1" applyAlignment="1" applyProtection="1">
      <alignment horizontal="center" wrapText="1"/>
      <protection locked="0"/>
    </xf>
    <xf numFmtId="4" fontId="16" fillId="0" borderId="2" xfId="20" applyNumberFormat="1" applyFont="1" applyBorder="1" applyAlignment="1">
      <alignment horizontal="center" wrapText="1"/>
    </xf>
    <xf numFmtId="49" fontId="16" fillId="13" borderId="19" xfId="20" applyNumberFormat="1" applyFont="1" applyFill="1" applyBorder="1" applyAlignment="1" applyProtection="1">
      <alignment horizontal="center" wrapText="1"/>
      <protection locked="0"/>
    </xf>
    <xf numFmtId="0" fontId="16" fillId="0" borderId="19" xfId="20" applyFont="1" applyBorder="1" applyAlignment="1">
      <alignment horizontal="left" wrapText="1"/>
    </xf>
    <xf numFmtId="0" fontId="16" fillId="0" borderId="19" xfId="20" applyFont="1" applyBorder="1" applyAlignment="1">
      <alignment horizontal="center" wrapText="1"/>
    </xf>
    <xf numFmtId="0" fontId="16" fillId="13" borderId="19" xfId="20" applyFont="1" applyFill="1" applyBorder="1" applyAlignment="1" applyProtection="1">
      <alignment horizontal="center" wrapText="1"/>
      <protection locked="0"/>
    </xf>
    <xf numFmtId="4" fontId="16" fillId="0" borderId="19" xfId="20" applyNumberFormat="1" applyFont="1" applyBorder="1" applyAlignment="1">
      <alignment horizontal="center" wrapText="1"/>
    </xf>
    <xf numFmtId="4" fontId="16" fillId="0" borderId="20" xfId="20" applyNumberFormat="1" applyFont="1" applyBorder="1" applyAlignment="1">
      <alignment horizontal="center" wrapText="1"/>
    </xf>
    <xf numFmtId="49" fontId="16" fillId="13" borderId="18" xfId="20" applyNumberFormat="1" applyFont="1" applyFill="1" applyBorder="1" applyAlignment="1" applyProtection="1">
      <alignment horizontal="center" wrapText="1"/>
      <protection locked="0"/>
    </xf>
    <xf numFmtId="49" fontId="27" fillId="11" borderId="13" xfId="20" applyNumberFormat="1" applyFont="1" applyFill="1" applyBorder="1" applyAlignment="1" applyProtection="1">
      <alignment horizontal="center" vertical="center" wrapText="1"/>
      <protection locked="0"/>
    </xf>
    <xf numFmtId="49" fontId="27" fillId="11" borderId="14" xfId="20" applyNumberFormat="1" applyFont="1" applyFill="1" applyBorder="1" applyAlignment="1" applyProtection="1">
      <alignment horizontal="center" vertical="center" wrapText="1"/>
      <protection locked="0"/>
    </xf>
    <xf numFmtId="49" fontId="27" fillId="11" borderId="14" xfId="20" applyNumberFormat="1" applyFont="1" applyFill="1" applyBorder="1" applyAlignment="1" applyProtection="1">
      <alignment wrapText="1"/>
      <protection locked="0"/>
    </xf>
    <xf numFmtId="0" fontId="27" fillId="12" borderId="14" xfId="20" applyFont="1" applyFill="1" applyBorder="1" applyAlignment="1">
      <alignment vertical="center"/>
    </xf>
    <xf numFmtId="4" fontId="27" fillId="12" borderId="14" xfId="20" applyNumberFormat="1" applyFont="1" applyFill="1" applyBorder="1" applyAlignment="1">
      <alignment horizontal="center" vertical="center"/>
    </xf>
    <xf numFmtId="4" fontId="27" fillId="12" borderId="15" xfId="20" applyNumberFormat="1" applyFont="1" applyFill="1" applyBorder="1" applyAlignment="1">
      <alignment horizontal="center" vertical="center"/>
    </xf>
    <xf numFmtId="0" fontId="28" fillId="0" borderId="0" xfId="20" applyFont="1" applyAlignment="1" applyProtection="1">
      <alignment horizontal="center" vertical="center"/>
      <protection locked="0" hidden="1"/>
    </xf>
    <xf numFmtId="0" fontId="1" fillId="0" borderId="53" xfId="20" applyBorder="1"/>
    <xf numFmtId="49" fontId="8" fillId="3" borderId="7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" fontId="16" fillId="0" borderId="34" xfId="20" applyNumberFormat="1" applyFont="1" applyBorder="1" applyAlignment="1">
      <alignment horizontal="center" wrapText="1"/>
    </xf>
    <xf numFmtId="164" fontId="10" fillId="8" borderId="62" xfId="0" applyNumberFormat="1" applyFont="1" applyFill="1" applyBorder="1" applyAlignment="1">
      <alignment horizontal="center" vertical="center" wrapText="1"/>
    </xf>
    <xf numFmtId="0" fontId="3" fillId="0" borderId="52" xfId="5" applyBorder="1" applyAlignment="1">
      <alignment vertical="center"/>
    </xf>
    <xf numFmtId="0" fontId="3" fillId="0" borderId="68" xfId="5" applyBorder="1" applyAlignment="1">
      <alignment vertical="center"/>
    </xf>
    <xf numFmtId="0" fontId="3" fillId="0" borderId="61" xfId="5" applyBorder="1" applyAlignment="1">
      <alignment horizontal="left" vertical="center"/>
    </xf>
    <xf numFmtId="0" fontId="3" fillId="0" borderId="61" xfId="5" applyBorder="1" applyAlignment="1">
      <alignment vertical="center"/>
    </xf>
    <xf numFmtId="0" fontId="3" fillId="0" borderId="70" xfId="5" applyBorder="1" applyAlignment="1">
      <alignment vertical="center"/>
    </xf>
    <xf numFmtId="0" fontId="4" fillId="0" borderId="49" xfId="5" applyFont="1" applyBorder="1" applyAlignment="1">
      <alignment vertical="center"/>
    </xf>
    <xf numFmtId="0" fontId="4" fillId="0" borderId="46" xfId="5" applyFont="1" applyBorder="1" applyAlignment="1">
      <alignment horizontal="left" vertical="center"/>
    </xf>
    <xf numFmtId="0" fontId="4" fillId="0" borderId="46" xfId="5" applyFont="1" applyBorder="1" applyAlignment="1">
      <alignment vertical="center"/>
    </xf>
    <xf numFmtId="0" fontId="4" fillId="0" borderId="21" xfId="5" applyFont="1" applyBorder="1" applyAlignment="1">
      <alignment vertical="center"/>
    </xf>
    <xf numFmtId="0" fontId="4" fillId="0" borderId="46" xfId="5" applyFont="1" applyBorder="1" applyAlignment="1">
      <alignment horizontal="right" vertical="center"/>
    </xf>
    <xf numFmtId="167" fontId="4" fillId="0" borderId="46" xfId="5" applyNumberFormat="1" applyFont="1" applyBorder="1" applyAlignment="1">
      <alignment horizontal="right" vertical="center"/>
    </xf>
    <xf numFmtId="0" fontId="4" fillId="11" borderId="33" xfId="5" applyFont="1" applyFill="1" applyBorder="1" applyAlignment="1">
      <alignment vertical="center" wrapText="1"/>
    </xf>
    <xf numFmtId="0" fontId="4" fillId="11" borderId="5" xfId="5" applyFont="1" applyFill="1" applyBorder="1" applyAlignment="1">
      <alignment vertical="center" wrapText="1"/>
    </xf>
    <xf numFmtId="0" fontId="4" fillId="11" borderId="5" xfId="5" applyFont="1" applyFill="1" applyBorder="1" applyAlignment="1">
      <alignment horizontal="center" vertical="center" wrapText="1"/>
    </xf>
    <xf numFmtId="0" fontId="4" fillId="11" borderId="2" xfId="5" applyFont="1" applyFill="1" applyBorder="1" applyAlignment="1">
      <alignment horizontal="center" vertical="center" wrapText="1"/>
    </xf>
    <xf numFmtId="0" fontId="4" fillId="11" borderId="17" xfId="5" applyFont="1" applyFill="1" applyBorder="1" applyAlignment="1">
      <alignment horizontal="center" vertical="center" wrapText="1"/>
    </xf>
    <xf numFmtId="10" fontId="3" fillId="0" borderId="71" xfId="5" applyNumberFormat="1" applyBorder="1" applyAlignment="1">
      <alignment horizontal="center" vertical="center" wrapText="1"/>
    </xf>
    <xf numFmtId="10" fontId="3" fillId="11" borderId="72" xfId="5" applyNumberFormat="1" applyFill="1" applyBorder="1" applyAlignment="1">
      <alignment horizontal="center" vertical="center" wrapText="1"/>
    </xf>
    <xf numFmtId="167" fontId="3" fillId="0" borderId="73" xfId="5" applyNumberFormat="1" applyBorder="1" applyAlignment="1">
      <alignment horizontal="center" vertical="center" wrapText="1"/>
    </xf>
    <xf numFmtId="167" fontId="3" fillId="11" borderId="74" xfId="5" applyNumberFormat="1" applyFill="1" applyBorder="1" applyAlignment="1">
      <alignment horizontal="center" vertical="center" wrapText="1"/>
    </xf>
    <xf numFmtId="167" fontId="3" fillId="0" borderId="0" xfId="5" applyNumberFormat="1" applyAlignment="1">
      <alignment vertical="center"/>
    </xf>
    <xf numFmtId="9" fontId="4" fillId="0" borderId="73" xfId="2" applyFont="1" applyBorder="1" applyAlignment="1">
      <alignment horizontal="center" vertical="center" wrapText="1"/>
    </xf>
    <xf numFmtId="10" fontId="4" fillId="0" borderId="73" xfId="5" applyNumberFormat="1" applyFont="1" applyBorder="1" applyAlignment="1">
      <alignment horizontal="center" vertical="center" wrapText="1"/>
    </xf>
    <xf numFmtId="10" fontId="4" fillId="11" borderId="74" xfId="5" applyNumberFormat="1" applyFont="1" applyFill="1" applyBorder="1" applyAlignment="1">
      <alignment horizontal="center" vertical="center" wrapText="1"/>
    </xf>
    <xf numFmtId="167" fontId="4" fillId="0" borderId="73" xfId="5" applyNumberFormat="1" applyFont="1" applyBorder="1" applyAlignment="1">
      <alignment horizontal="center" vertical="center" wrapText="1"/>
    </xf>
    <xf numFmtId="167" fontId="4" fillId="11" borderId="74" xfId="5" applyNumberFormat="1" applyFont="1" applyFill="1" applyBorder="1" applyAlignment="1">
      <alignment horizontal="center" vertical="center" wrapText="1"/>
    </xf>
    <xf numFmtId="44" fontId="4" fillId="0" borderId="73" xfId="22" applyFont="1" applyBorder="1" applyAlignment="1">
      <alignment horizontal="center" vertical="center" wrapText="1"/>
    </xf>
    <xf numFmtId="0" fontId="4" fillId="0" borderId="55" xfId="5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9" fontId="3" fillId="0" borderId="0" xfId="2" applyFont="1" applyAlignment="1">
      <alignment horizontal="center" vertical="center" wrapText="1"/>
    </xf>
    <xf numFmtId="167" fontId="4" fillId="0" borderId="0" xfId="5" applyNumberFormat="1" applyFont="1" applyAlignment="1">
      <alignment horizontal="center" vertical="center" wrapText="1"/>
    </xf>
    <xf numFmtId="167" fontId="4" fillId="0" borderId="56" xfId="5" applyNumberFormat="1" applyFont="1" applyBorder="1" applyAlignment="1">
      <alignment horizontal="center" vertical="center" wrapText="1"/>
    </xf>
    <xf numFmtId="167" fontId="3" fillId="0" borderId="0" xfId="5" applyNumberFormat="1" applyAlignment="1">
      <alignment horizontal="center" vertical="center" wrapText="1"/>
    </xf>
    <xf numFmtId="0" fontId="4" fillId="0" borderId="55" xfId="5" applyFont="1" applyBorder="1" applyAlignment="1">
      <alignment vertical="center"/>
    </xf>
    <xf numFmtId="0" fontId="29" fillId="0" borderId="0" xfId="5" applyFont="1" applyAlignment="1">
      <alignment horizontal="center"/>
    </xf>
    <xf numFmtId="0" fontId="29" fillId="0" borderId="0" xfId="5" applyFont="1"/>
    <xf numFmtId="0" fontId="4" fillId="0" borderId="56" xfId="5" applyFont="1" applyBorder="1" applyAlignment="1">
      <alignment vertical="center"/>
    </xf>
    <xf numFmtId="0" fontId="30" fillId="0" borderId="0" xfId="5" applyFont="1" applyAlignment="1">
      <alignment horizontal="center" wrapText="1"/>
    </xf>
    <xf numFmtId="167" fontId="30" fillId="0" borderId="0" xfId="5" applyNumberFormat="1" applyFont="1"/>
    <xf numFmtId="167" fontId="31" fillId="0" borderId="0" xfId="5" applyNumberFormat="1" applyFont="1"/>
    <xf numFmtId="0" fontId="31" fillId="0" borderId="0" xfId="5" applyFont="1" applyAlignment="1">
      <alignment horizontal="center"/>
    </xf>
    <xf numFmtId="0" fontId="3" fillId="0" borderId="0" xfId="5" applyAlignment="1">
      <alignment horizontal="center" vertical="center"/>
    </xf>
    <xf numFmtId="0" fontId="3" fillId="0" borderId="0" xfId="5" applyAlignment="1">
      <alignment horizontal="left" vertical="center"/>
    </xf>
    <xf numFmtId="0" fontId="3" fillId="0" borderId="57" xfId="5" applyBorder="1" applyAlignment="1">
      <alignment vertical="center"/>
    </xf>
    <xf numFmtId="0" fontId="3" fillId="0" borderId="58" xfId="5" applyBorder="1" applyAlignment="1">
      <alignment horizontal="left" vertical="center"/>
    </xf>
    <xf numFmtId="0" fontId="3" fillId="0" borderId="58" xfId="5" applyBorder="1" applyAlignment="1">
      <alignment vertical="center"/>
    </xf>
    <xf numFmtId="0" fontId="3" fillId="0" borderId="59" xfId="5" applyBorder="1" applyAlignment="1">
      <alignment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47" xfId="0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3" fillId="0" borderId="25" xfId="2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3" fillId="0" borderId="4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9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33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  <xf numFmtId="49" fontId="4" fillId="0" borderId="5" xfId="5" applyNumberFormat="1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3" fillId="0" borderId="45" xfId="5" applyBorder="1" applyAlignment="1">
      <alignment horizontal="center" vertical="center"/>
    </xf>
    <xf numFmtId="0" fontId="3" fillId="0" borderId="22" xfId="5" applyBorder="1" applyAlignment="1">
      <alignment horizontal="center" vertical="center"/>
    </xf>
    <xf numFmtId="0" fontId="4" fillId="8" borderId="49" xfId="5" applyFont="1" applyFill="1" applyBorder="1" applyAlignment="1">
      <alignment horizontal="center" vertical="center"/>
    </xf>
    <xf numFmtId="0" fontId="4" fillId="8" borderId="46" xfId="5" applyFont="1" applyFill="1" applyBorder="1" applyAlignment="1">
      <alignment horizontal="center" vertical="center"/>
    </xf>
    <xf numFmtId="0" fontId="4" fillId="8" borderId="21" xfId="5" applyFont="1" applyFill="1" applyBorder="1" applyAlignment="1">
      <alignment horizontal="center" vertical="center"/>
    </xf>
    <xf numFmtId="0" fontId="4" fillId="0" borderId="49" xfId="5" applyFont="1" applyBorder="1" applyAlignment="1">
      <alignment horizontal="left" vertical="center" wrapText="1"/>
    </xf>
    <xf numFmtId="0" fontId="4" fillId="0" borderId="46" xfId="5" applyFont="1" applyBorder="1" applyAlignment="1">
      <alignment horizontal="left" vertical="center" wrapText="1"/>
    </xf>
    <xf numFmtId="0" fontId="4" fillId="0" borderId="21" xfId="5" applyFont="1" applyBorder="1" applyAlignment="1">
      <alignment horizontal="left" vertical="center" wrapText="1"/>
    </xf>
    <xf numFmtId="0" fontId="4" fillId="0" borderId="49" xfId="5" applyFont="1" applyBorder="1" applyAlignment="1">
      <alignment horizontal="left" vertical="center"/>
    </xf>
    <xf numFmtId="0" fontId="4" fillId="0" borderId="46" xfId="5" applyFont="1" applyBorder="1" applyAlignment="1">
      <alignment horizontal="left" vertical="center"/>
    </xf>
    <xf numFmtId="0" fontId="4" fillId="0" borderId="46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11" borderId="49" xfId="5" applyFont="1" applyFill="1" applyBorder="1" applyAlignment="1">
      <alignment horizontal="center" vertical="center" wrapText="1"/>
    </xf>
    <xf numFmtId="0" fontId="4" fillId="11" borderId="46" xfId="5" applyFont="1" applyFill="1" applyBorder="1" applyAlignment="1">
      <alignment horizontal="center" vertical="center" wrapText="1"/>
    </xf>
    <xf numFmtId="0" fontId="4" fillId="11" borderId="21" xfId="5" applyFont="1" applyFill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75" xfId="5" applyFont="1" applyBorder="1" applyAlignment="1">
      <alignment horizontal="center" vertical="center"/>
    </xf>
    <xf numFmtId="0" fontId="4" fillId="0" borderId="71" xfId="5" applyFont="1" applyBorder="1" applyAlignment="1">
      <alignment horizontal="center" vertical="center"/>
    </xf>
    <xf numFmtId="0" fontId="4" fillId="0" borderId="76" xfId="5" applyFont="1" applyBorder="1" applyAlignment="1">
      <alignment horizontal="center" vertical="center"/>
    </xf>
    <xf numFmtId="0" fontId="4" fillId="0" borderId="73" xfId="5" applyFont="1" applyBorder="1" applyAlignment="1">
      <alignment horizontal="center" vertical="center"/>
    </xf>
    <xf numFmtId="0" fontId="29" fillId="0" borderId="0" xfId="5" applyFont="1" applyAlignment="1">
      <alignment horizontal="center"/>
    </xf>
    <xf numFmtId="167" fontId="29" fillId="0" borderId="0" xfId="5" applyNumberFormat="1" applyFont="1" applyAlignment="1">
      <alignment horizontal="center"/>
    </xf>
    <xf numFmtId="0" fontId="4" fillId="0" borderId="49" xfId="5" applyFont="1" applyBorder="1" applyAlignment="1">
      <alignment horizontal="center" vertical="center" wrapText="1"/>
    </xf>
    <xf numFmtId="0" fontId="4" fillId="0" borderId="46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32" fillId="0" borderId="0" xfId="5" applyFont="1" applyAlignment="1">
      <alignment horizontal="center"/>
    </xf>
    <xf numFmtId="164" fontId="21" fillId="3" borderId="3" xfId="0" applyNumberFormat="1" applyFont="1" applyFill="1" applyBorder="1" applyAlignment="1">
      <alignment horizontal="center" vertical="center" wrapText="1"/>
    </xf>
    <xf numFmtId="164" fontId="21" fillId="3" borderId="46" xfId="0" applyNumberFormat="1" applyFont="1" applyFill="1" applyBorder="1" applyAlignment="1">
      <alignment horizontal="center" vertical="center" wrapText="1"/>
    </xf>
    <xf numFmtId="164" fontId="21" fillId="3" borderId="21" xfId="0" applyNumberFormat="1" applyFont="1" applyFill="1" applyBorder="1" applyAlignment="1">
      <alignment horizontal="center" vertical="center" wrapText="1"/>
    </xf>
    <xf numFmtId="164" fontId="8" fillId="3" borderId="41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8" fillId="3" borderId="56" xfId="0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3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5" borderId="5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5" fillId="9" borderId="62" xfId="20" applyFont="1" applyFill="1" applyBorder="1" applyAlignment="1">
      <alignment horizontal="center"/>
    </xf>
    <xf numFmtId="0" fontId="25" fillId="9" borderId="35" xfId="20" applyFont="1" applyFill="1" applyBorder="1" applyAlignment="1">
      <alignment horizontal="center"/>
    </xf>
    <xf numFmtId="0" fontId="25" fillId="9" borderId="36" xfId="20" applyFont="1" applyFill="1" applyBorder="1" applyAlignment="1">
      <alignment horizontal="center"/>
    </xf>
    <xf numFmtId="0" fontId="28" fillId="0" borderId="0" xfId="20" applyFont="1" applyAlignment="1" applyProtection="1">
      <alignment horizontal="center" vertical="center"/>
      <protection locked="0" hidden="1"/>
    </xf>
    <xf numFmtId="0" fontId="14" fillId="0" borderId="0" xfId="16" applyFont="1" applyAlignment="1">
      <alignment horizontal="left"/>
    </xf>
    <xf numFmtId="0" fontId="4" fillId="0" borderId="68" xfId="16" applyFont="1" applyBorder="1" applyAlignment="1">
      <alignment horizontal="center" vertical="top"/>
    </xf>
    <xf numFmtId="0" fontId="4" fillId="0" borderId="61" xfId="16" applyFont="1" applyBorder="1" applyAlignment="1">
      <alignment horizontal="center" vertical="top"/>
    </xf>
    <xf numFmtId="0" fontId="3" fillId="0" borderId="55" xfId="16" applyBorder="1" applyAlignment="1">
      <alignment horizontal="center"/>
    </xf>
    <xf numFmtId="0" fontId="3" fillId="0" borderId="0" xfId="16" applyAlignment="1">
      <alignment horizontal="center"/>
    </xf>
    <xf numFmtId="0" fontId="3" fillId="0" borderId="57" xfId="16" applyBorder="1" applyAlignment="1">
      <alignment horizontal="center"/>
    </xf>
    <xf numFmtId="0" fontId="3" fillId="0" borderId="58" xfId="16" applyBorder="1" applyAlignment="1">
      <alignment horizontal="center"/>
    </xf>
    <xf numFmtId="0" fontId="4" fillId="7" borderId="55" xfId="16" applyFont="1" applyFill="1" applyBorder="1" applyAlignment="1">
      <alignment horizontal="center"/>
    </xf>
    <xf numFmtId="0" fontId="4" fillId="7" borderId="0" xfId="16" applyFont="1" applyFill="1" applyAlignment="1">
      <alignment horizontal="center"/>
    </xf>
    <xf numFmtId="0" fontId="4" fillId="7" borderId="56" xfId="16" applyFont="1" applyFill="1" applyBorder="1" applyAlignment="1">
      <alignment horizontal="center"/>
    </xf>
    <xf numFmtId="0" fontId="14" fillId="6" borderId="52" xfId="16" applyFont="1" applyFill="1" applyBorder="1" applyAlignment="1">
      <alignment horizontal="center"/>
    </xf>
    <xf numFmtId="0" fontId="14" fillId="6" borderId="53" xfId="16" applyFont="1" applyFill="1" applyBorder="1" applyAlignment="1">
      <alignment horizontal="center"/>
    </xf>
    <xf numFmtId="0" fontId="14" fillId="6" borderId="54" xfId="16" applyFont="1" applyFill="1" applyBorder="1" applyAlignment="1">
      <alignment horizontal="center"/>
    </xf>
    <xf numFmtId="0" fontId="11" fillId="6" borderId="57" xfId="16" applyFont="1" applyFill="1" applyBorder="1" applyAlignment="1">
      <alignment horizontal="center"/>
    </xf>
    <xf numFmtId="0" fontId="11" fillId="6" borderId="58" xfId="16" applyFont="1" applyFill="1" applyBorder="1" applyAlignment="1">
      <alignment horizontal="center"/>
    </xf>
    <xf numFmtId="0" fontId="11" fillId="6" borderId="59" xfId="16" applyFont="1" applyFill="1" applyBorder="1" applyAlignment="1">
      <alignment horizontal="center"/>
    </xf>
    <xf numFmtId="0" fontId="14" fillId="0" borderId="67" xfId="16" applyFont="1" applyBorder="1" applyAlignment="1">
      <alignment horizontal="left"/>
    </xf>
    <xf numFmtId="0" fontId="14" fillId="0" borderId="1" xfId="16" applyFont="1" applyBorder="1" applyAlignment="1">
      <alignment horizontal="left"/>
    </xf>
    <xf numFmtId="0" fontId="3" fillId="0" borderId="67" xfId="16" applyBorder="1" applyAlignment="1">
      <alignment horizontal="center"/>
    </xf>
    <xf numFmtId="0" fontId="3" fillId="0" borderId="1" xfId="16" applyBorder="1" applyAlignment="1">
      <alignment horizontal="center"/>
    </xf>
    <xf numFmtId="0" fontId="8" fillId="0" borderId="55" xfId="16" applyFont="1" applyBorder="1" applyAlignment="1">
      <alignment horizontal="left"/>
    </xf>
    <xf numFmtId="0" fontId="8" fillId="0" borderId="0" xfId="16" applyFont="1" applyAlignment="1">
      <alignment horizontal="left"/>
    </xf>
    <xf numFmtId="0" fontId="14" fillId="0" borderId="55" xfId="16" applyFont="1" applyBorder="1" applyAlignment="1">
      <alignment horizontal="center"/>
    </xf>
    <xf numFmtId="0" fontId="14" fillId="0" borderId="0" xfId="16" applyFont="1" applyAlignment="1">
      <alignment horizontal="center"/>
    </xf>
    <xf numFmtId="0" fontId="14" fillId="0" borderId="56" xfId="16" applyFont="1" applyBorder="1" applyAlignment="1">
      <alignment horizontal="center"/>
    </xf>
    <xf numFmtId="0" fontId="11" fillId="4" borderId="55" xfId="16" applyFont="1" applyFill="1" applyBorder="1" applyAlignment="1">
      <alignment horizontal="center"/>
    </xf>
    <xf numFmtId="0" fontId="11" fillId="4" borderId="0" xfId="16" applyFont="1" applyFill="1" applyAlignment="1">
      <alignment horizontal="center"/>
    </xf>
    <xf numFmtId="0" fontId="11" fillId="4" borderId="56" xfId="16" applyFont="1" applyFill="1" applyBorder="1" applyAlignment="1">
      <alignment horizontal="center"/>
    </xf>
    <xf numFmtId="0" fontId="14" fillId="0" borderId="2" xfId="16" applyFont="1" applyBorder="1" applyAlignment="1">
      <alignment horizontal="center"/>
    </xf>
    <xf numFmtId="0" fontId="11" fillId="0" borderId="52" xfId="16" applyFont="1" applyBorder="1" applyAlignment="1">
      <alignment horizontal="center" vertical="center"/>
    </xf>
    <xf numFmtId="0" fontId="11" fillId="0" borderId="57" xfId="16" applyFont="1" applyBorder="1" applyAlignment="1">
      <alignment horizontal="center" vertical="center"/>
    </xf>
    <xf numFmtId="10" fontId="11" fillId="0" borderId="63" xfId="16" applyNumberFormat="1" applyFont="1" applyBorder="1" applyAlignment="1">
      <alignment horizontal="center"/>
    </xf>
    <xf numFmtId="0" fontId="11" fillId="0" borderId="64" xfId="16" applyFont="1" applyBorder="1" applyAlignment="1">
      <alignment horizontal="center"/>
    </xf>
    <xf numFmtId="0" fontId="20" fillId="0" borderId="55" xfId="16" applyFont="1" applyBorder="1" applyAlignment="1">
      <alignment horizontal="center" vertical="center"/>
    </xf>
    <xf numFmtId="0" fontId="20" fillId="0" borderId="0" xfId="16" applyFont="1" applyAlignment="1">
      <alignment horizontal="center" vertical="center"/>
    </xf>
    <xf numFmtId="0" fontId="11" fillId="0" borderId="55" xfId="16" applyFont="1" applyBorder="1" applyAlignment="1">
      <alignment horizontal="center" vertical="center"/>
    </xf>
    <xf numFmtId="0" fontId="11" fillId="0" borderId="27" xfId="16" applyFont="1" applyBorder="1" applyAlignment="1">
      <alignment horizontal="center"/>
    </xf>
    <xf numFmtId="0" fontId="11" fillId="0" borderId="26" xfId="16" applyFont="1" applyBorder="1" applyAlignment="1">
      <alignment horizontal="center"/>
    </xf>
    <xf numFmtId="0" fontId="11" fillId="0" borderId="0" xfId="16" applyFont="1" applyAlignment="1">
      <alignment horizontal="center" vertical="center"/>
    </xf>
    <xf numFmtId="0" fontId="14" fillId="0" borderId="55" xfId="16" applyFont="1" applyBorder="1" applyAlignment="1">
      <alignment horizontal="left"/>
    </xf>
    <xf numFmtId="0" fontId="14" fillId="0" borderId="41" xfId="16" applyFont="1" applyBorder="1" applyAlignment="1">
      <alignment horizontal="left"/>
    </xf>
    <xf numFmtId="0" fontId="14" fillId="0" borderId="56" xfId="16" applyFont="1" applyBorder="1" applyAlignment="1">
      <alignment horizontal="left"/>
    </xf>
    <xf numFmtId="0" fontId="4" fillId="0" borderId="53" xfId="16" applyFont="1" applyBorder="1" applyAlignment="1">
      <alignment horizontal="center" vertical="center"/>
    </xf>
    <xf numFmtId="0" fontId="4" fillId="0" borderId="0" xfId="16" applyFont="1" applyAlignment="1">
      <alignment horizontal="center" vertical="center"/>
    </xf>
    <xf numFmtId="0" fontId="14" fillId="0" borderId="55" xfId="16" applyFont="1" applyBorder="1" applyAlignment="1">
      <alignment horizontal="left" wrapText="1"/>
    </xf>
    <xf numFmtId="0" fontId="14" fillId="0" borderId="0" xfId="16" applyFont="1" applyAlignment="1">
      <alignment horizontal="left" wrapText="1"/>
    </xf>
    <xf numFmtId="0" fontId="4" fillId="0" borderId="55" xfId="0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0" fontId="4" fillId="0" borderId="58" xfId="0" applyFont="1" applyBorder="1" applyAlignment="1">
      <alignment horizontal="right"/>
    </xf>
    <xf numFmtId="2" fontId="8" fillId="3" borderId="3" xfId="4" applyNumberFormat="1" applyFont="1" applyFill="1" applyBorder="1" applyAlignment="1">
      <alignment horizontal="center" vertical="center"/>
    </xf>
    <xf numFmtId="2" fontId="8" fillId="3" borderId="46" xfId="4" applyNumberFormat="1" applyFont="1" applyFill="1" applyBorder="1" applyAlignment="1">
      <alignment horizontal="center" vertical="center"/>
    </xf>
    <xf numFmtId="2" fontId="8" fillId="3" borderId="4" xfId="4" applyNumberFormat="1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16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7" xfId="0" applyFont="1" applyBorder="1" applyAlignment="1">
      <alignment horizontal="left"/>
    </xf>
  </cellXfs>
  <cellStyles count="23">
    <cellStyle name="Moeda 2" xfId="6" xr:uid="{00000000-0005-0000-0000-000000000000}"/>
    <cellStyle name="Moeda 3" xfId="22" xr:uid="{D3921F7D-2D32-45DF-94F7-700331549161}"/>
    <cellStyle name="Normal" xfId="0" builtinId="0"/>
    <cellStyle name="Normal 2" xfId="5" xr:uid="{00000000-0005-0000-0000-000002000000}"/>
    <cellStyle name="Normal 2 2" xfId="7" xr:uid="{00000000-0005-0000-0000-000003000000}"/>
    <cellStyle name="Normal 2 2 2" xfId="21" xr:uid="{9312DB30-CA41-4F30-BA3B-3E91BA0E2919}"/>
    <cellStyle name="Normal 3" xfId="1" xr:uid="{00000000-0005-0000-0000-000004000000}"/>
    <cellStyle name="Normal 3 3" xfId="18" xr:uid="{A4AEC3D7-311E-41A5-B69F-27BC1AFEBDBD}"/>
    <cellStyle name="Normal 4" xfId="8" xr:uid="{00000000-0005-0000-0000-000005000000}"/>
    <cellStyle name="Normal 4 2" xfId="17" xr:uid="{52D54F4D-CA4F-42A9-ACFB-63AEFEED133E}"/>
    <cellStyle name="Normal 5" xfId="19" xr:uid="{F977D875-BE56-42CF-9553-B6EF96FA56CE}"/>
    <cellStyle name="Normal 5 2" xfId="20" xr:uid="{E654BB1C-ABBC-4B6C-80A3-982CEDFBC8CC}"/>
    <cellStyle name="Normal 8" xfId="16" xr:uid="{835DB25D-DB4D-4945-865F-7CD38DB16695}"/>
    <cellStyle name="Porcentagem" xfId="2" builtinId="5"/>
    <cellStyle name="Porcentagem 2" xfId="9" xr:uid="{00000000-0005-0000-0000-000007000000}"/>
    <cellStyle name="Porcentagem 3" xfId="10" xr:uid="{00000000-0005-0000-0000-000008000000}"/>
    <cellStyle name="Separador de milhares 2" xfId="11" xr:uid="{00000000-0005-0000-0000-000009000000}"/>
    <cellStyle name="Separador de milhares 5" xfId="3" xr:uid="{00000000-0005-0000-0000-00000A000000}"/>
    <cellStyle name="Vírgula" xfId="4" builtinId="3"/>
    <cellStyle name="Vírgula 2" xfId="12" xr:uid="{00000000-0005-0000-0000-00000C000000}"/>
    <cellStyle name="Vírgula 3" xfId="13" xr:uid="{00000000-0005-0000-0000-00000D000000}"/>
    <cellStyle name="Vírgula 4" xfId="14" xr:uid="{00000000-0005-0000-0000-00000E000000}"/>
    <cellStyle name="Vírgula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428625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A8FF38-78E0-4848-9FC0-CC2C248A1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35405" cy="802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869578</xdr:colOff>
      <xdr:row>0</xdr:row>
      <xdr:rowOff>35861</xdr:rowOff>
    </xdr:from>
    <xdr:to>
      <xdr:col>8</xdr:col>
      <xdr:colOff>1326778</xdr:colOff>
      <xdr:row>0</xdr:row>
      <xdr:rowOff>867672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F6C17A72-45B5-48E7-A78B-23E48DAAB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966" y="35861"/>
          <a:ext cx="1550894" cy="83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17929</xdr:colOff>
      <xdr:row>0</xdr:row>
      <xdr:rowOff>80682</xdr:rowOff>
    </xdr:from>
    <xdr:to>
      <xdr:col>2</xdr:col>
      <xdr:colOff>1070049</xdr:colOff>
      <xdr:row>0</xdr:row>
      <xdr:rowOff>876636</xdr:rowOff>
    </xdr:to>
    <xdr:pic>
      <xdr:nvPicPr>
        <xdr:cNvPr id="3" name="Imagem 12">
          <a:extLst>
            <a:ext uri="{FF2B5EF4-FFF2-40B4-BE49-F238E27FC236}">
              <a16:creationId xmlns:a16="http://schemas.microsoft.com/office/drawing/2014/main" id="{C5C8B6BE-42D4-43DD-8CE8-886C327E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89" y="82587"/>
          <a:ext cx="1608380" cy="795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714375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43135F2-9A1C-4140-85BC-F9690A1A4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33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666750</xdr:colOff>
      <xdr:row>0</xdr:row>
      <xdr:rowOff>19050</xdr:rowOff>
    </xdr:from>
    <xdr:to>
      <xdr:col>7</xdr:col>
      <xdr:colOff>1066800</xdr:colOff>
      <xdr:row>3</xdr:row>
      <xdr:rowOff>19050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981FC4F-ACB7-404D-B2FC-98FD3918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9050"/>
          <a:ext cx="133350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33512" cy="464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PM/PLANILHA_MULTIPLA_V3_05/PLANILHA%20M&#218;LTIPLA%20V3.0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CRONOGRANA%20FINAL%20GIN&#193;SIO/OR&#199;AMENTO%20LICITADO%20E%20CRONOGRAMA%20APROVADOS%20PELA%20CAIXA/Refer&#234;ncia%2002-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feitura/REFORMA%20TEODOMIRO%20E%20S&#195;O%20JO&#195;O/planilha%20amplia&#231;&#227;o%20e%20reforma%20creche%20s&#227;o%20jo&#227;o/planilha%20or&#231;amentaria%20REFORMA%20TEODOMIRO%20E%20CRECHE%20S&#195;O%20JO&#195;O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RAS\AppData\Local\Temp\Rar$DIa7352.31249\PLANILHA%20CAL&#199;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0">
          <cell r="B20" t="str">
            <v>ÍNDICE</v>
          </cell>
        </row>
        <row r="25">
          <cell r="B25" t="str">
            <v>EMPRESAS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RÇ"/>
      <sheetName val="CRON"/>
      <sheetName val="MEMORIA DE CÁLCULO"/>
      <sheetName val="CPUS"/>
      <sheetName val="BDI-COM DESONERAÇÃO"/>
    </sheetNames>
    <sheetDataSet>
      <sheetData sheetId="0">
        <row r="13">
          <cell r="A13">
            <v>1</v>
          </cell>
        </row>
        <row r="17">
          <cell r="A17">
            <v>2</v>
          </cell>
        </row>
        <row r="32">
          <cell r="A32">
            <v>4</v>
          </cell>
        </row>
        <row r="47">
          <cell r="A47">
            <v>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</sheetNames>
    <sheetDataSet>
      <sheetData sheetId="0" refreshError="1">
        <row r="13">
          <cell r="B13" t="str">
            <v>IIO-PLA-005</v>
          </cell>
        </row>
        <row r="16">
          <cell r="B16" t="str">
            <v>TER-ESC-015</v>
          </cell>
        </row>
        <row r="20">
          <cell r="B20" t="str">
            <v>OBR-VIA-145</v>
          </cell>
        </row>
        <row r="25">
          <cell r="B25" t="str">
            <v>DRE-SAR-010</v>
          </cell>
        </row>
        <row r="28">
          <cell r="B28" t="str">
            <v>OBR-VIA-315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A22C-C196-4742-B473-2E1702DE496A}">
  <sheetPr>
    <pageSetUpPr fitToPage="1"/>
  </sheetPr>
  <dimension ref="A1:M198"/>
  <sheetViews>
    <sheetView showGridLines="0" zoomScale="90" zoomScaleNormal="90" zoomScalePageLayoutView="80" workbookViewId="0">
      <selection activeCell="C13" sqref="C13:C15"/>
    </sheetView>
  </sheetViews>
  <sheetFormatPr defaultRowHeight="14.4" x14ac:dyDescent="0.3"/>
  <cols>
    <col min="1" max="1" width="13.21875" style="3" customWidth="1"/>
    <col min="2" max="2" width="16.109375" style="3" customWidth="1"/>
    <col min="3" max="3" width="85.5546875" style="3" customWidth="1"/>
    <col min="4" max="4" width="8" style="3" customWidth="1"/>
    <col min="5" max="5" width="12.44140625" style="3" customWidth="1"/>
    <col min="6" max="6" width="13.6640625" style="3" customWidth="1"/>
    <col min="7" max="7" width="15.6640625" style="3" customWidth="1"/>
    <col min="8" max="8" width="13.6640625" style="3" customWidth="1"/>
    <col min="9" max="9" width="15.6640625" style="3" customWidth="1"/>
    <col min="10" max="10" width="14.21875" style="2" customWidth="1"/>
    <col min="11" max="11" width="18.109375" style="3" customWidth="1"/>
    <col min="12" max="12" width="8.88671875" style="1"/>
  </cols>
  <sheetData>
    <row r="1" spans="1:12" s="6" customFormat="1" ht="15" customHeight="1" x14ac:dyDescent="0.25">
      <c r="A1" s="245" t="s">
        <v>13</v>
      </c>
      <c r="B1" s="246"/>
      <c r="C1" s="246"/>
      <c r="D1" s="246"/>
      <c r="E1" s="246"/>
      <c r="F1" s="246"/>
      <c r="G1" s="246"/>
      <c r="H1" s="246"/>
      <c r="I1" s="247"/>
      <c r="J1" s="7"/>
      <c r="K1" s="4"/>
      <c r="L1" s="5"/>
    </row>
    <row r="2" spans="1:12" s="6" customFormat="1" ht="15" customHeight="1" x14ac:dyDescent="0.25">
      <c r="A2" s="248"/>
      <c r="B2" s="249"/>
      <c r="C2" s="249"/>
      <c r="D2" s="249"/>
      <c r="E2" s="249"/>
      <c r="F2" s="249"/>
      <c r="G2" s="249"/>
      <c r="H2" s="249"/>
      <c r="I2" s="250"/>
      <c r="J2" s="7"/>
      <c r="K2" s="4"/>
      <c r="L2" s="5"/>
    </row>
    <row r="3" spans="1:12" s="6" customFormat="1" ht="4.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3"/>
      <c r="J3" s="7"/>
      <c r="K3" s="4"/>
      <c r="L3" s="5"/>
    </row>
    <row r="4" spans="1:12" s="6" customFormat="1" ht="16.2" customHeight="1" x14ac:dyDescent="0.25">
      <c r="A4" s="254" t="s">
        <v>21</v>
      </c>
      <c r="B4" s="255"/>
      <c r="C4" s="255"/>
      <c r="D4" s="255"/>
      <c r="E4" s="256"/>
      <c r="F4" s="260" t="s">
        <v>23</v>
      </c>
      <c r="G4" s="261"/>
      <c r="H4" s="262"/>
      <c r="I4" s="263" t="s">
        <v>22</v>
      </c>
      <c r="J4" s="7"/>
      <c r="K4" s="4"/>
      <c r="L4" s="5"/>
    </row>
    <row r="5" spans="1:12" s="6" customFormat="1" ht="15.6" customHeight="1" thickBot="1" x14ac:dyDescent="0.3">
      <c r="A5" s="257"/>
      <c r="B5" s="258"/>
      <c r="C5" s="258"/>
      <c r="D5" s="258"/>
      <c r="E5" s="259"/>
      <c r="F5" s="265" t="s">
        <v>29</v>
      </c>
      <c r="G5" s="266"/>
      <c r="H5" s="8" t="s">
        <v>20</v>
      </c>
      <c r="I5" s="264"/>
      <c r="J5" s="7"/>
      <c r="K5" s="4"/>
      <c r="L5" s="5"/>
    </row>
    <row r="6" spans="1:12" s="6" customFormat="1" ht="15" customHeight="1" x14ac:dyDescent="0.25">
      <c r="A6" s="267" t="s">
        <v>196</v>
      </c>
      <c r="B6" s="268"/>
      <c r="C6" s="268"/>
      <c r="D6" s="268"/>
      <c r="E6" s="269"/>
      <c r="F6" s="270" t="s">
        <v>43</v>
      </c>
      <c r="G6" s="271"/>
      <c r="H6" s="9">
        <v>45748</v>
      </c>
      <c r="I6" s="272">
        <f>BDI!G28</f>
        <v>0.29810139476973418</v>
      </c>
      <c r="J6" s="7"/>
      <c r="K6" s="4"/>
      <c r="L6" s="5"/>
    </row>
    <row r="7" spans="1:12" s="6" customFormat="1" ht="43.8" customHeight="1" x14ac:dyDescent="0.25">
      <c r="A7" s="273" t="s">
        <v>461</v>
      </c>
      <c r="B7" s="274"/>
      <c r="C7" s="274"/>
      <c r="D7" s="274"/>
      <c r="E7" s="275"/>
      <c r="F7" s="276" t="s">
        <v>83</v>
      </c>
      <c r="G7" s="277"/>
      <c r="H7" s="10">
        <v>45809</v>
      </c>
      <c r="I7" s="272"/>
      <c r="J7" s="7"/>
      <c r="K7" s="4"/>
      <c r="L7" s="5"/>
    </row>
    <row r="8" spans="1:12" s="6" customFormat="1" ht="15" customHeight="1" x14ac:dyDescent="0.25">
      <c r="A8" s="278" t="s">
        <v>249</v>
      </c>
      <c r="B8" s="279"/>
      <c r="C8" s="279"/>
      <c r="D8" s="279"/>
      <c r="E8" s="280"/>
      <c r="F8" s="281" t="s">
        <v>167</v>
      </c>
      <c r="G8" s="282"/>
      <c r="H8" s="10">
        <v>45778</v>
      </c>
      <c r="I8" s="272"/>
      <c r="J8" s="7"/>
    </row>
    <row r="9" spans="1:12" s="6" customFormat="1" ht="15" customHeight="1" x14ac:dyDescent="0.25">
      <c r="A9" s="283" t="s">
        <v>463</v>
      </c>
      <c r="B9" s="284"/>
      <c r="C9" s="284"/>
      <c r="D9" s="284"/>
      <c r="E9" s="285"/>
      <c r="F9" s="276"/>
      <c r="G9" s="277"/>
      <c r="H9" s="10"/>
      <c r="I9" s="272"/>
      <c r="J9" s="7"/>
    </row>
    <row r="10" spans="1:12" s="6" customFormat="1" ht="15.75" customHeight="1" x14ac:dyDescent="0.25">
      <c r="A10" s="286"/>
      <c r="B10" s="287"/>
      <c r="C10" s="287"/>
      <c r="D10" s="287"/>
      <c r="E10" s="288"/>
      <c r="F10" s="276"/>
      <c r="G10" s="277"/>
      <c r="H10" s="10"/>
      <c r="I10" s="272"/>
      <c r="J10" s="7"/>
    </row>
    <row r="11" spans="1:12" s="6" customFormat="1" ht="15" customHeight="1" thickBot="1" x14ac:dyDescent="0.3">
      <c r="A11" s="219" t="s">
        <v>420</v>
      </c>
      <c r="B11" s="220"/>
      <c r="C11" s="220"/>
      <c r="D11" s="220"/>
      <c r="E11" s="221"/>
      <c r="F11" s="222"/>
      <c r="G11" s="223"/>
      <c r="H11" s="11"/>
      <c r="I11" s="272"/>
      <c r="J11" s="7"/>
    </row>
    <row r="12" spans="1:12" s="6" customFormat="1" ht="15" customHeight="1" thickBot="1" x14ac:dyDescent="0.3">
      <c r="A12" s="224" t="s">
        <v>13</v>
      </c>
      <c r="B12" s="225"/>
      <c r="C12" s="225"/>
      <c r="D12" s="225"/>
      <c r="E12" s="225"/>
      <c r="F12" s="225"/>
      <c r="G12" s="225"/>
      <c r="H12" s="225"/>
      <c r="I12" s="226"/>
      <c r="J12" s="7"/>
    </row>
    <row r="13" spans="1:12" s="6" customFormat="1" ht="15" customHeight="1" x14ac:dyDescent="0.25">
      <c r="A13" s="227" t="s">
        <v>0</v>
      </c>
      <c r="B13" s="230" t="s">
        <v>6</v>
      </c>
      <c r="C13" s="230" t="s">
        <v>12</v>
      </c>
      <c r="D13" s="230" t="s">
        <v>1</v>
      </c>
      <c r="E13" s="233" t="s">
        <v>19</v>
      </c>
      <c r="F13" s="236" t="s">
        <v>14</v>
      </c>
      <c r="G13" s="237"/>
      <c r="H13" s="238" t="s">
        <v>14</v>
      </c>
      <c r="I13" s="237"/>
      <c r="J13" s="7"/>
    </row>
    <row r="14" spans="1:12" s="6" customFormat="1" ht="15" customHeight="1" x14ac:dyDescent="0.25">
      <c r="A14" s="228"/>
      <c r="B14" s="231"/>
      <c r="C14" s="231"/>
      <c r="D14" s="231"/>
      <c r="E14" s="234"/>
      <c r="F14" s="239" t="s">
        <v>15</v>
      </c>
      <c r="G14" s="240"/>
      <c r="H14" s="241" t="s">
        <v>16</v>
      </c>
      <c r="I14" s="240"/>
      <c r="J14" s="7"/>
    </row>
    <row r="15" spans="1:12" s="6" customFormat="1" ht="15" customHeight="1" thickBot="1" x14ac:dyDescent="0.3">
      <c r="A15" s="229"/>
      <c r="B15" s="232"/>
      <c r="C15" s="232"/>
      <c r="D15" s="232"/>
      <c r="E15" s="235"/>
      <c r="F15" s="12" t="s">
        <v>17</v>
      </c>
      <c r="G15" s="13" t="s">
        <v>18</v>
      </c>
      <c r="H15" s="14" t="s">
        <v>17</v>
      </c>
      <c r="I15" s="13" t="s">
        <v>18</v>
      </c>
      <c r="J15" s="7"/>
    </row>
    <row r="16" spans="1:12" s="6" customFormat="1" ht="15" customHeight="1" thickBot="1" x14ac:dyDescent="0.3">
      <c r="A16" s="242" t="s">
        <v>252</v>
      </c>
      <c r="B16" s="243"/>
      <c r="C16" s="243"/>
      <c r="D16" s="243"/>
      <c r="E16" s="243"/>
      <c r="F16" s="243"/>
      <c r="G16" s="243"/>
      <c r="H16" s="243"/>
      <c r="I16" s="244"/>
      <c r="J16" s="7"/>
    </row>
    <row r="17" spans="1:12" s="6" customFormat="1" ht="15" customHeight="1" x14ac:dyDescent="0.25">
      <c r="A17" s="94" t="s">
        <v>46</v>
      </c>
      <c r="B17" s="15"/>
      <c r="C17" s="32" t="s">
        <v>44</v>
      </c>
      <c r="D17" s="15"/>
      <c r="E17" s="16"/>
      <c r="F17" s="17"/>
      <c r="G17" s="18">
        <f>F17*E17</f>
        <v>0</v>
      </c>
      <c r="H17" s="19">
        <f>F17*(1+$I$6)</f>
        <v>0</v>
      </c>
      <c r="I17" s="55">
        <f>SUM(I18:I21)</f>
        <v>3634.5450634663875</v>
      </c>
      <c r="J17" s="7"/>
    </row>
    <row r="18" spans="1:12" s="6" customFormat="1" ht="72" customHeight="1" x14ac:dyDescent="0.25">
      <c r="A18" s="20" t="s">
        <v>47</v>
      </c>
      <c r="B18" s="31" t="s">
        <v>172</v>
      </c>
      <c r="C18" s="34" t="s">
        <v>97</v>
      </c>
      <c r="D18" s="21" t="s">
        <v>70</v>
      </c>
      <c r="E18" s="50">
        <v>1</v>
      </c>
      <c r="F18" s="23">
        <v>1130.27</v>
      </c>
      <c r="G18" s="24">
        <f t="shared" ref="G18:G66" si="0">F18*E18</f>
        <v>1130.27</v>
      </c>
      <c r="H18" s="25">
        <f t="shared" ref="H18:H66" si="1">F18*(1+$I$6)</f>
        <v>1467.2050634663874</v>
      </c>
      <c r="I18" s="24">
        <f>H18*E18</f>
        <v>1467.2050634663874</v>
      </c>
      <c r="J18" s="7"/>
    </row>
    <row r="19" spans="1:12" s="6" customFormat="1" ht="72" customHeight="1" x14ac:dyDescent="0.25">
      <c r="A19" s="20" t="s">
        <v>96</v>
      </c>
      <c r="B19" s="31" t="s">
        <v>188</v>
      </c>
      <c r="C19" s="34" t="s">
        <v>187</v>
      </c>
      <c r="D19" s="21" t="s">
        <v>73</v>
      </c>
      <c r="E19" s="50">
        <f>3.7*5</f>
        <v>18.5</v>
      </c>
      <c r="F19" s="23">
        <v>60.94</v>
      </c>
      <c r="G19" s="24">
        <f t="shared" si="0"/>
        <v>1127.3899999999999</v>
      </c>
      <c r="H19" s="25">
        <f t="shared" si="1"/>
        <v>79.106298997267601</v>
      </c>
      <c r="I19" s="24">
        <v>1463.54</v>
      </c>
      <c r="J19" s="7"/>
    </row>
    <row r="20" spans="1:12" s="6" customFormat="1" ht="33.6" customHeight="1" x14ac:dyDescent="0.25">
      <c r="A20" s="20" t="s">
        <v>199</v>
      </c>
      <c r="B20" s="31" t="s">
        <v>198</v>
      </c>
      <c r="C20" s="34" t="s">
        <v>200</v>
      </c>
      <c r="D20" s="21" t="s">
        <v>71</v>
      </c>
      <c r="E20" s="50">
        <f>38.35*0.2</f>
        <v>7.6700000000000008</v>
      </c>
      <c r="F20" s="23">
        <v>58.64</v>
      </c>
      <c r="G20" s="24">
        <f t="shared" si="0"/>
        <v>449.76880000000006</v>
      </c>
      <c r="H20" s="25">
        <f t="shared" si="1"/>
        <v>76.12066578929722</v>
      </c>
      <c r="I20" s="24">
        <v>583.84</v>
      </c>
      <c r="J20" s="7"/>
    </row>
    <row r="21" spans="1:12" s="6" customFormat="1" ht="42.6" customHeight="1" x14ac:dyDescent="0.25">
      <c r="A21" s="20" t="s">
        <v>209</v>
      </c>
      <c r="B21" s="31" t="s">
        <v>197</v>
      </c>
      <c r="C21" s="34" t="s">
        <v>201</v>
      </c>
      <c r="D21" s="21" t="s">
        <v>71</v>
      </c>
      <c r="E21" s="50">
        <f>38.35*0.2</f>
        <v>7.6700000000000008</v>
      </c>
      <c r="F21" s="23">
        <v>12.05</v>
      </c>
      <c r="G21" s="24">
        <f t="shared" si="0"/>
        <v>92.423500000000018</v>
      </c>
      <c r="H21" s="25">
        <f t="shared" si="1"/>
        <v>15.642121806975299</v>
      </c>
      <c r="I21" s="24">
        <v>119.96</v>
      </c>
      <c r="J21" s="7"/>
    </row>
    <row r="22" spans="1:12" s="6" customFormat="1" ht="15" customHeight="1" x14ac:dyDescent="0.25">
      <c r="A22" s="94" t="s">
        <v>51</v>
      </c>
      <c r="B22" s="21"/>
      <c r="C22" s="33" t="s">
        <v>113</v>
      </c>
      <c r="D22" s="21"/>
      <c r="E22" s="50"/>
      <c r="F22" s="23"/>
      <c r="G22" s="24">
        <f t="shared" si="0"/>
        <v>0</v>
      </c>
      <c r="H22" s="25">
        <f t="shared" si="1"/>
        <v>0</v>
      </c>
      <c r="I22" s="56">
        <f>SUM(I23:I24)</f>
        <v>4420.87</v>
      </c>
      <c r="J22" s="7"/>
    </row>
    <row r="23" spans="1:12" s="6" customFormat="1" ht="34.799999999999997" customHeight="1" x14ac:dyDescent="0.25">
      <c r="A23" s="20" t="s">
        <v>52</v>
      </c>
      <c r="B23" s="21" t="s">
        <v>190</v>
      </c>
      <c r="C23" s="34" t="s">
        <v>235</v>
      </c>
      <c r="D23" s="21" t="s">
        <v>71</v>
      </c>
      <c r="E23" s="50">
        <f>38.35*0.05</f>
        <v>1.9175000000000002</v>
      </c>
      <c r="F23" s="23">
        <v>573.12</v>
      </c>
      <c r="G23" s="24">
        <f t="shared" si="0"/>
        <v>1098.9576000000002</v>
      </c>
      <c r="H23" s="25">
        <f t="shared" si="1"/>
        <v>743.96787137043009</v>
      </c>
      <c r="I23" s="24">
        <v>1428.42</v>
      </c>
      <c r="J23" s="7"/>
    </row>
    <row r="24" spans="1:12" s="6" customFormat="1" ht="51.6" customHeight="1" x14ac:dyDescent="0.25">
      <c r="A24" s="20" t="s">
        <v>53</v>
      </c>
      <c r="B24" s="21" t="s">
        <v>205</v>
      </c>
      <c r="C24" s="34" t="s">
        <v>204</v>
      </c>
      <c r="D24" s="21" t="s">
        <v>72</v>
      </c>
      <c r="E24" s="50">
        <v>38.35</v>
      </c>
      <c r="F24" s="23">
        <v>60.11</v>
      </c>
      <c r="G24" s="24">
        <f t="shared" si="0"/>
        <v>2305.2184999999999</v>
      </c>
      <c r="H24" s="25">
        <f t="shared" si="1"/>
        <v>78.028874839608719</v>
      </c>
      <c r="I24" s="24">
        <v>2992.45</v>
      </c>
      <c r="J24" s="7"/>
    </row>
    <row r="25" spans="1:12" s="6" customFormat="1" ht="15" customHeight="1" x14ac:dyDescent="0.25">
      <c r="A25" s="94" t="s">
        <v>57</v>
      </c>
      <c r="B25" s="21"/>
      <c r="C25" s="33" t="s">
        <v>111</v>
      </c>
      <c r="D25" s="21"/>
      <c r="E25" s="50"/>
      <c r="F25" s="23"/>
      <c r="G25" s="24">
        <f t="shared" si="0"/>
        <v>0</v>
      </c>
      <c r="H25" s="25">
        <f t="shared" si="1"/>
        <v>0</v>
      </c>
      <c r="I25" s="56">
        <f>SUM(I26:I31)</f>
        <v>6144.14755969621</v>
      </c>
      <c r="J25" s="7"/>
      <c r="K25" s="4"/>
      <c r="L25" s="5"/>
    </row>
    <row r="26" spans="1:12" s="6" customFormat="1" ht="62.4" customHeight="1" x14ac:dyDescent="0.25">
      <c r="A26" s="20" t="s">
        <v>58</v>
      </c>
      <c r="B26" s="21" t="s">
        <v>157</v>
      </c>
      <c r="C26" s="34" t="s">
        <v>236</v>
      </c>
      <c r="D26" s="21" t="s">
        <v>70</v>
      </c>
      <c r="E26" s="50">
        <v>1</v>
      </c>
      <c r="F26" s="23">
        <v>2546.37</v>
      </c>
      <c r="G26" s="24">
        <f t="shared" si="0"/>
        <v>2546.37</v>
      </c>
      <c r="H26" s="25">
        <f t="shared" si="1"/>
        <v>3305.4464485998078</v>
      </c>
      <c r="I26" s="24">
        <f>H26*E26</f>
        <v>3305.4464485998078</v>
      </c>
      <c r="J26" s="7"/>
      <c r="K26" s="4"/>
      <c r="L26" s="5"/>
    </row>
    <row r="27" spans="1:12" s="6" customFormat="1" ht="59.4" customHeight="1" x14ac:dyDescent="0.25">
      <c r="A27" s="20" t="s">
        <v>59</v>
      </c>
      <c r="B27" s="21" t="s">
        <v>173</v>
      </c>
      <c r="C27" s="34" t="s">
        <v>158</v>
      </c>
      <c r="D27" s="21" t="s">
        <v>70</v>
      </c>
      <c r="E27" s="50">
        <v>1</v>
      </c>
      <c r="F27" s="23">
        <v>246.22</v>
      </c>
      <c r="G27" s="24">
        <f t="shared" si="0"/>
        <v>246.22</v>
      </c>
      <c r="H27" s="25">
        <f t="shared" si="1"/>
        <v>319.61852542020392</v>
      </c>
      <c r="I27" s="24">
        <f>H27*E27</f>
        <v>319.61852542020392</v>
      </c>
      <c r="J27" s="7"/>
      <c r="K27" s="4"/>
      <c r="L27" s="5"/>
    </row>
    <row r="28" spans="1:12" s="6" customFormat="1" ht="22.2" customHeight="1" x14ac:dyDescent="0.25">
      <c r="A28" s="20" t="s">
        <v>159</v>
      </c>
      <c r="B28" s="21">
        <v>39390</v>
      </c>
      <c r="C28" s="34" t="s">
        <v>175</v>
      </c>
      <c r="D28" s="21" t="s">
        <v>70</v>
      </c>
      <c r="E28" s="50">
        <v>5</v>
      </c>
      <c r="F28" s="23">
        <v>26.13</v>
      </c>
      <c r="G28" s="24">
        <f t="shared" si="0"/>
        <v>130.65</v>
      </c>
      <c r="H28" s="25">
        <f t="shared" si="1"/>
        <v>33.919389445333152</v>
      </c>
      <c r="I28" s="24">
        <f t="shared" ref="I28:I40" si="2">H28*E28</f>
        <v>169.59694722666575</v>
      </c>
      <c r="J28" s="7"/>
      <c r="K28" s="4"/>
      <c r="L28" s="5"/>
    </row>
    <row r="29" spans="1:12" s="6" customFormat="1" ht="22.2" customHeight="1" x14ac:dyDescent="0.25">
      <c r="A29" s="20" t="s">
        <v>160</v>
      </c>
      <c r="B29" s="21" t="s">
        <v>229</v>
      </c>
      <c r="C29" s="34" t="s">
        <v>228</v>
      </c>
      <c r="D29" s="21" t="s">
        <v>70</v>
      </c>
      <c r="E29" s="50">
        <v>1</v>
      </c>
      <c r="F29" s="23">
        <v>5</v>
      </c>
      <c r="G29" s="24">
        <f t="shared" si="0"/>
        <v>5</v>
      </c>
      <c r="H29" s="25">
        <f t="shared" si="1"/>
        <v>6.4905069738486709</v>
      </c>
      <c r="I29" s="24">
        <f t="shared" si="2"/>
        <v>6.4905069738486709</v>
      </c>
      <c r="J29" s="7"/>
      <c r="K29" s="4"/>
      <c r="L29" s="5"/>
    </row>
    <row r="30" spans="1:12" s="6" customFormat="1" ht="22.2" customHeight="1" x14ac:dyDescent="0.25">
      <c r="A30" s="20" t="s">
        <v>161</v>
      </c>
      <c r="B30" s="21" t="s">
        <v>227</v>
      </c>
      <c r="C30" s="34" t="s">
        <v>226</v>
      </c>
      <c r="D30" s="21" t="s">
        <v>70</v>
      </c>
      <c r="E30" s="50">
        <v>1</v>
      </c>
      <c r="F30" s="23">
        <v>33.92</v>
      </c>
      <c r="G30" s="24">
        <f t="shared" si="0"/>
        <v>33.92</v>
      </c>
      <c r="H30" s="25">
        <f t="shared" si="1"/>
        <v>44.031599310589385</v>
      </c>
      <c r="I30" s="24">
        <f t="shared" si="2"/>
        <v>44.031599310589385</v>
      </c>
      <c r="J30" s="7"/>
      <c r="K30" s="4"/>
      <c r="L30" s="5"/>
    </row>
    <row r="31" spans="1:12" s="6" customFormat="1" ht="22.2" customHeight="1" x14ac:dyDescent="0.25">
      <c r="A31" s="20" t="s">
        <v>178</v>
      </c>
      <c r="B31" s="21" t="s">
        <v>177</v>
      </c>
      <c r="C31" s="34" t="s">
        <v>176</v>
      </c>
      <c r="D31" s="21" t="s">
        <v>70</v>
      </c>
      <c r="E31" s="50">
        <v>6</v>
      </c>
      <c r="F31" s="23">
        <v>295.17</v>
      </c>
      <c r="G31" s="24">
        <f t="shared" si="0"/>
        <v>1771.02</v>
      </c>
      <c r="H31" s="25">
        <f t="shared" si="1"/>
        <v>383.16058869418248</v>
      </c>
      <c r="I31" s="24">
        <f t="shared" si="2"/>
        <v>2298.9635321650949</v>
      </c>
      <c r="J31" s="7"/>
      <c r="K31" s="4"/>
      <c r="L31" s="5"/>
    </row>
    <row r="32" spans="1:12" s="6" customFormat="1" ht="15.6" customHeight="1" x14ac:dyDescent="0.25">
      <c r="A32" s="94" t="s">
        <v>62</v>
      </c>
      <c r="B32" s="21"/>
      <c r="C32" s="33" t="s">
        <v>165</v>
      </c>
      <c r="D32" s="21"/>
      <c r="E32" s="50"/>
      <c r="F32" s="23"/>
      <c r="G32" s="24"/>
      <c r="H32" s="25"/>
      <c r="I32" s="56">
        <f>SUM(I33:I40)</f>
        <v>23386.12313674582</v>
      </c>
      <c r="J32" s="7"/>
      <c r="K32" s="4"/>
      <c r="L32" s="5"/>
    </row>
    <row r="33" spans="1:13" s="6" customFormat="1" ht="44.4" customHeight="1" x14ac:dyDescent="0.25">
      <c r="A33" s="20" t="s">
        <v>63</v>
      </c>
      <c r="B33" s="21" t="s">
        <v>211</v>
      </c>
      <c r="C33" s="34" t="s">
        <v>232</v>
      </c>
      <c r="D33" s="21" t="s">
        <v>72</v>
      </c>
      <c r="E33" s="50">
        <f>'Memoria de Calculo c'!D31</f>
        <v>41.52</v>
      </c>
      <c r="F33" s="23">
        <v>113.84</v>
      </c>
      <c r="G33" s="24">
        <f t="shared" si="0"/>
        <v>4726.6368000000002</v>
      </c>
      <c r="H33" s="25">
        <f t="shared" si="1"/>
        <v>147.77586278058655</v>
      </c>
      <c r="I33" s="24">
        <v>6135.83</v>
      </c>
      <c r="J33" s="7"/>
      <c r="K33" s="4"/>
      <c r="L33" s="5"/>
    </row>
    <row r="34" spans="1:13" s="6" customFormat="1" ht="34.799999999999997" customHeight="1" x14ac:dyDescent="0.25">
      <c r="A34" s="20" t="s">
        <v>75</v>
      </c>
      <c r="B34" s="21">
        <v>94446</v>
      </c>
      <c r="C34" s="34" t="s">
        <v>164</v>
      </c>
      <c r="D34" s="21" t="s">
        <v>72</v>
      </c>
      <c r="E34" s="50">
        <f>'Memoria de Calculo c'!D32</f>
        <v>41.52</v>
      </c>
      <c r="F34" s="23">
        <v>102.76</v>
      </c>
      <c r="G34" s="24">
        <f t="shared" si="0"/>
        <v>4266.5952000000007</v>
      </c>
      <c r="H34" s="25">
        <f t="shared" si="1"/>
        <v>133.3928993265379</v>
      </c>
      <c r="I34" s="24">
        <v>5538.35</v>
      </c>
      <c r="K34" s="7" t="s">
        <v>166</v>
      </c>
      <c r="L34" s="96">
        <f>(((3.7*3.7)*1.73)/4)*6</f>
        <v>35.525550000000003</v>
      </c>
    </row>
    <row r="35" spans="1:13" s="6" customFormat="1" ht="46.8" customHeight="1" x14ac:dyDescent="0.25">
      <c r="A35" s="20" t="s">
        <v>170</v>
      </c>
      <c r="B35" s="21">
        <v>94219</v>
      </c>
      <c r="C35" s="34" t="s">
        <v>186</v>
      </c>
      <c r="D35" s="21" t="s">
        <v>73</v>
      </c>
      <c r="E35" s="50">
        <f>'Memoria de Calculo c'!D33</f>
        <v>24</v>
      </c>
      <c r="F35" s="23">
        <v>47.04</v>
      </c>
      <c r="G35" s="24">
        <f t="shared" si="0"/>
        <v>1128.96</v>
      </c>
      <c r="H35" s="25">
        <f t="shared" si="1"/>
        <v>61.062689609968295</v>
      </c>
      <c r="I35" s="24">
        <v>1465.44</v>
      </c>
      <c r="J35" s="7"/>
      <c r="K35" s="96"/>
      <c r="L35" s="5"/>
    </row>
    <row r="36" spans="1:13" s="6" customFormat="1" ht="33" customHeight="1" x14ac:dyDescent="0.25">
      <c r="A36" s="20" t="s">
        <v>171</v>
      </c>
      <c r="B36" s="21">
        <v>2794</v>
      </c>
      <c r="C36" s="34" t="s">
        <v>419</v>
      </c>
      <c r="D36" s="21" t="s">
        <v>73</v>
      </c>
      <c r="E36" s="50">
        <f>'Memoria de Calculo c'!D34</f>
        <v>21</v>
      </c>
      <c r="F36" s="23">
        <v>131.52000000000001</v>
      </c>
      <c r="G36" s="24">
        <f t="shared" si="0"/>
        <v>2761.92</v>
      </c>
      <c r="H36" s="25">
        <f t="shared" si="1"/>
        <v>170.72629544011545</v>
      </c>
      <c r="I36" s="24">
        <v>3585.33</v>
      </c>
      <c r="J36" s="7"/>
      <c r="K36" s="4"/>
      <c r="L36" s="5"/>
    </row>
    <row r="37" spans="1:13" s="6" customFormat="1" ht="47.4" customHeight="1" x14ac:dyDescent="0.25">
      <c r="A37" s="20" t="s">
        <v>184</v>
      </c>
      <c r="B37" s="21">
        <v>92560</v>
      </c>
      <c r="C37" s="34" t="s">
        <v>212</v>
      </c>
      <c r="D37" s="21" t="s">
        <v>70</v>
      </c>
      <c r="E37" s="50">
        <f>'Memoria de Calculo c'!D35</f>
        <v>1</v>
      </c>
      <c r="F37" s="23">
        <v>2659.86</v>
      </c>
      <c r="G37" s="24">
        <f t="shared" si="0"/>
        <v>2659.86</v>
      </c>
      <c r="H37" s="25">
        <f t="shared" si="1"/>
        <v>3452.7679758922254</v>
      </c>
      <c r="I37" s="24">
        <f t="shared" si="2"/>
        <v>3452.7679758922254</v>
      </c>
      <c r="J37" s="7"/>
      <c r="K37" s="4"/>
      <c r="L37" s="5"/>
    </row>
    <row r="38" spans="1:13" s="6" customFormat="1" ht="22.2" customHeight="1" x14ac:dyDescent="0.25">
      <c r="A38" s="20" t="s">
        <v>185</v>
      </c>
      <c r="B38" s="21" t="s">
        <v>180</v>
      </c>
      <c r="C38" s="34" t="s">
        <v>179</v>
      </c>
      <c r="D38" s="21" t="s">
        <v>71</v>
      </c>
      <c r="E38" s="50">
        <f>'Memoria de Calculo c'!D36</f>
        <v>0.75</v>
      </c>
      <c r="F38" s="23">
        <v>41.84</v>
      </c>
      <c r="G38" s="24">
        <f t="shared" si="0"/>
        <v>31.380000000000003</v>
      </c>
      <c r="H38" s="25">
        <f t="shared" si="1"/>
        <v>54.312562357165682</v>
      </c>
      <c r="I38" s="24">
        <f t="shared" si="2"/>
        <v>40.73442176787426</v>
      </c>
      <c r="K38" s="7" t="s">
        <v>181</v>
      </c>
      <c r="L38" s="4">
        <f>(0.5*0.5)*0.5</f>
        <v>0.125</v>
      </c>
      <c r="M38" s="5">
        <f>L38*6</f>
        <v>0.75</v>
      </c>
    </row>
    <row r="39" spans="1:13" s="6" customFormat="1" ht="45" customHeight="1" x14ac:dyDescent="0.25">
      <c r="A39" s="20" t="s">
        <v>208</v>
      </c>
      <c r="B39" s="21" t="s">
        <v>183</v>
      </c>
      <c r="C39" s="34" t="s">
        <v>182</v>
      </c>
      <c r="D39" s="21" t="s">
        <v>71</v>
      </c>
      <c r="E39" s="50">
        <f>'Memoria de Calculo c'!D37</f>
        <v>0.75</v>
      </c>
      <c r="F39" s="23">
        <v>760.51</v>
      </c>
      <c r="G39" s="24">
        <f t="shared" si="0"/>
        <v>570.38249999999994</v>
      </c>
      <c r="H39" s="25">
        <f t="shared" si="1"/>
        <v>987.21909173633048</v>
      </c>
      <c r="I39" s="24">
        <v>740.42</v>
      </c>
      <c r="J39" s="7"/>
      <c r="K39" s="4"/>
      <c r="L39" s="5"/>
    </row>
    <row r="40" spans="1:13" s="6" customFormat="1" ht="45" customHeight="1" x14ac:dyDescent="0.25">
      <c r="A40" s="20" t="s">
        <v>213</v>
      </c>
      <c r="B40" s="21" t="s">
        <v>207</v>
      </c>
      <c r="C40" s="34" t="s">
        <v>206</v>
      </c>
      <c r="D40" s="21" t="s">
        <v>71</v>
      </c>
      <c r="E40" s="50">
        <f>'Memoria de Calculo c'!D38</f>
        <v>0.74</v>
      </c>
      <c r="F40" s="23">
        <v>2526.8200000000002</v>
      </c>
      <c r="G40" s="24">
        <f t="shared" si="0"/>
        <v>1869.8468</v>
      </c>
      <c r="H40" s="25">
        <f t="shared" si="1"/>
        <v>3280.0685663320601</v>
      </c>
      <c r="I40" s="24">
        <f t="shared" si="2"/>
        <v>2427.2507390857245</v>
      </c>
      <c r="J40" s="7"/>
      <c r="K40" s="4"/>
      <c r="L40" s="5"/>
    </row>
    <row r="41" spans="1:13" s="6" customFormat="1" ht="15" customHeight="1" x14ac:dyDescent="0.25">
      <c r="A41" s="94" t="s">
        <v>67</v>
      </c>
      <c r="B41" s="21"/>
      <c r="C41" s="33" t="s">
        <v>112</v>
      </c>
      <c r="D41" s="21"/>
      <c r="E41" s="50"/>
      <c r="F41" s="23"/>
      <c r="G41" s="24">
        <f t="shared" si="0"/>
        <v>0</v>
      </c>
      <c r="H41" s="25">
        <f t="shared" si="1"/>
        <v>0</v>
      </c>
      <c r="I41" s="56">
        <f>SUM(I42:I48)</f>
        <v>5297.9123298108161</v>
      </c>
      <c r="J41" s="7"/>
      <c r="K41" s="4"/>
      <c r="L41" s="5"/>
    </row>
    <row r="42" spans="1:13" s="6" customFormat="1" ht="47.4" customHeight="1" x14ac:dyDescent="0.25">
      <c r="A42" s="20" t="s">
        <v>68</v>
      </c>
      <c r="B42" s="31" t="s">
        <v>215</v>
      </c>
      <c r="C42" s="34" t="s">
        <v>214</v>
      </c>
      <c r="D42" s="21" t="s">
        <v>72</v>
      </c>
      <c r="E42" s="50">
        <v>9.9</v>
      </c>
      <c r="F42" s="23">
        <v>89.5</v>
      </c>
      <c r="G42" s="24">
        <f t="shared" si="0"/>
        <v>886.05000000000007</v>
      </c>
      <c r="H42" s="25">
        <f t="shared" si="1"/>
        <v>116.1800748318912</v>
      </c>
      <c r="I42" s="24">
        <v>1150.18</v>
      </c>
      <c r="J42" s="7">
        <f>((3.7*5)*0.6)-(1*0.6)-(1*0.6)</f>
        <v>9.9</v>
      </c>
      <c r="K42" s="4"/>
      <c r="L42" s="5"/>
    </row>
    <row r="43" spans="1:13" s="6" customFormat="1" ht="47.4" customHeight="1" x14ac:dyDescent="0.25">
      <c r="A43" s="20" t="s">
        <v>69</v>
      </c>
      <c r="B43" s="31" t="s">
        <v>219</v>
      </c>
      <c r="C43" s="34" t="s">
        <v>218</v>
      </c>
      <c r="D43" s="21" t="s">
        <v>72</v>
      </c>
      <c r="E43" s="50">
        <f>J43+(J42*2)</f>
        <v>24.240000000000002</v>
      </c>
      <c r="F43" s="23">
        <v>14.64</v>
      </c>
      <c r="G43" s="24">
        <f t="shared" si="0"/>
        <v>354.87360000000007</v>
      </c>
      <c r="H43" s="25">
        <f t="shared" si="1"/>
        <v>19.004204419428909</v>
      </c>
      <c r="I43" s="24">
        <v>460.56</v>
      </c>
      <c r="J43" s="7">
        <f>(3.7*6)*0.2</f>
        <v>4.4400000000000004</v>
      </c>
      <c r="K43" s="4"/>
      <c r="L43" s="5"/>
    </row>
    <row r="44" spans="1:13" s="6" customFormat="1" ht="51" customHeight="1" x14ac:dyDescent="0.25">
      <c r="A44" s="20" t="s">
        <v>84</v>
      </c>
      <c r="B44" s="31" t="s">
        <v>217</v>
      </c>
      <c r="C44" s="34" t="s">
        <v>216</v>
      </c>
      <c r="D44" s="21" t="s">
        <v>72</v>
      </c>
      <c r="E44" s="50">
        <f>(J42*2)+J43</f>
        <v>24.240000000000002</v>
      </c>
      <c r="F44" s="23">
        <v>37.03</v>
      </c>
      <c r="G44" s="24">
        <f t="shared" si="0"/>
        <v>897.60720000000015</v>
      </c>
      <c r="H44" s="25">
        <f t="shared" si="1"/>
        <v>48.068694648323259</v>
      </c>
      <c r="I44" s="24">
        <v>1165.22</v>
      </c>
      <c r="J44" s="7"/>
      <c r="K44" s="4"/>
      <c r="L44" s="5"/>
    </row>
    <row r="45" spans="1:13" s="6" customFormat="1" ht="47.4" customHeight="1" x14ac:dyDescent="0.25">
      <c r="A45" s="20" t="s">
        <v>162</v>
      </c>
      <c r="B45" s="31" t="s">
        <v>223</v>
      </c>
      <c r="C45" s="34" t="s">
        <v>222</v>
      </c>
      <c r="D45" s="21" t="s">
        <v>72</v>
      </c>
      <c r="E45" s="50">
        <f>(J42*2)+J43</f>
        <v>24.240000000000002</v>
      </c>
      <c r="F45" s="23">
        <v>7.41</v>
      </c>
      <c r="G45" s="24">
        <f t="shared" si="0"/>
        <v>179.61840000000001</v>
      </c>
      <c r="H45" s="25">
        <f t="shared" si="1"/>
        <v>9.6189313352437313</v>
      </c>
      <c r="I45" s="24">
        <v>233.19</v>
      </c>
      <c r="J45" s="7"/>
      <c r="K45" s="4"/>
      <c r="L45" s="5"/>
    </row>
    <row r="46" spans="1:13" s="6" customFormat="1" ht="43.8" customHeight="1" x14ac:dyDescent="0.25">
      <c r="A46" s="20" t="s">
        <v>168</v>
      </c>
      <c r="B46" s="31" t="s">
        <v>221</v>
      </c>
      <c r="C46" s="34" t="s">
        <v>220</v>
      </c>
      <c r="D46" s="21" t="s">
        <v>72</v>
      </c>
      <c r="E46" s="50">
        <v>24.24</v>
      </c>
      <c r="F46" s="23">
        <v>15.53</v>
      </c>
      <c r="G46" s="24">
        <f t="shared" si="0"/>
        <v>376.44719999999995</v>
      </c>
      <c r="H46" s="25">
        <f t="shared" si="1"/>
        <v>20.159514660773972</v>
      </c>
      <c r="I46" s="24">
        <v>488.68</v>
      </c>
      <c r="J46" s="7"/>
      <c r="K46" s="4"/>
      <c r="L46" s="5"/>
    </row>
    <row r="47" spans="1:13" s="6" customFormat="1" ht="43.8" customHeight="1" x14ac:dyDescent="0.25">
      <c r="A47" s="20" t="s">
        <v>163</v>
      </c>
      <c r="B47" s="31" t="s">
        <v>225</v>
      </c>
      <c r="C47" s="34" t="s">
        <v>224</v>
      </c>
      <c r="D47" s="21" t="s">
        <v>72</v>
      </c>
      <c r="E47" s="50">
        <v>38.35</v>
      </c>
      <c r="F47" s="23">
        <v>12.98</v>
      </c>
      <c r="G47" s="24">
        <f t="shared" si="0"/>
        <v>497.78300000000002</v>
      </c>
      <c r="H47" s="25">
        <f t="shared" si="1"/>
        <v>16.849356104111152</v>
      </c>
      <c r="I47" s="24">
        <v>646.20000000000005</v>
      </c>
      <c r="J47" s="7"/>
      <c r="K47" s="4"/>
      <c r="L47" s="5"/>
    </row>
    <row r="48" spans="1:13" s="6" customFormat="1" ht="31.2" customHeight="1" x14ac:dyDescent="0.25">
      <c r="A48" s="20" t="s">
        <v>169</v>
      </c>
      <c r="B48" s="31" t="s">
        <v>174</v>
      </c>
      <c r="C48" s="34" t="s">
        <v>154</v>
      </c>
      <c r="D48" s="21" t="s">
        <v>70</v>
      </c>
      <c r="E48" s="50">
        <v>2</v>
      </c>
      <c r="F48" s="23">
        <v>444.45</v>
      </c>
      <c r="G48" s="24">
        <f t="shared" si="0"/>
        <v>888.9</v>
      </c>
      <c r="H48" s="25">
        <f t="shared" si="1"/>
        <v>576.9411649054083</v>
      </c>
      <c r="I48" s="24">
        <f t="shared" ref="I48" si="3">H48*E48</f>
        <v>1153.8823298108166</v>
      </c>
      <c r="J48" s="7"/>
      <c r="K48" s="4"/>
      <c r="L48" s="5"/>
    </row>
    <row r="49" spans="1:12" s="6" customFormat="1" ht="31.2" customHeight="1" x14ac:dyDescent="0.25">
      <c r="A49" s="94" t="s">
        <v>253</v>
      </c>
      <c r="B49" s="21"/>
      <c r="C49" s="33" t="s">
        <v>421</v>
      </c>
      <c r="D49" s="21"/>
      <c r="E49" s="50"/>
      <c r="F49" s="23"/>
      <c r="G49" s="24">
        <f t="shared" si="0"/>
        <v>0</v>
      </c>
      <c r="H49" s="25">
        <f t="shared" si="1"/>
        <v>0</v>
      </c>
      <c r="I49" s="56">
        <f>SUM(I50:I66)</f>
        <v>46836.867138559552</v>
      </c>
      <c r="J49" s="7"/>
      <c r="K49" s="4"/>
      <c r="L49" s="5"/>
    </row>
    <row r="50" spans="1:12" s="6" customFormat="1" ht="31.2" customHeight="1" x14ac:dyDescent="0.25">
      <c r="A50" s="20" t="s">
        <v>265</v>
      </c>
      <c r="B50" s="111" t="s">
        <v>255</v>
      </c>
      <c r="C50" s="106" t="s">
        <v>318</v>
      </c>
      <c r="D50" s="43" t="s">
        <v>71</v>
      </c>
      <c r="E50" s="105">
        <f>'Memoria de Calculo c'!D48</f>
        <v>0.85499999999999998</v>
      </c>
      <c r="F50" s="107">
        <v>102.24</v>
      </c>
      <c r="G50" s="24">
        <f t="shared" si="0"/>
        <v>87.415199999999999</v>
      </c>
      <c r="H50" s="25">
        <f t="shared" si="1"/>
        <v>132.71788660125762</v>
      </c>
      <c r="I50" s="24">
        <v>114.14</v>
      </c>
      <c r="J50" s="7"/>
      <c r="K50" s="4"/>
      <c r="L50" s="5"/>
    </row>
    <row r="51" spans="1:12" s="6" customFormat="1" ht="31.2" customHeight="1" x14ac:dyDescent="0.25">
      <c r="A51" s="20" t="s">
        <v>266</v>
      </c>
      <c r="B51" s="111" t="s">
        <v>320</v>
      </c>
      <c r="C51" s="106" t="s">
        <v>319</v>
      </c>
      <c r="D51" s="43" t="s">
        <v>72</v>
      </c>
      <c r="E51" s="105">
        <f>'Memoria de Calculo c'!D49</f>
        <v>28.5</v>
      </c>
      <c r="F51" s="107">
        <v>75.790000000000006</v>
      </c>
      <c r="G51" s="24">
        <f t="shared" si="0"/>
        <v>2160.0150000000003</v>
      </c>
      <c r="H51" s="25">
        <f t="shared" si="1"/>
        <v>98.383104709598157</v>
      </c>
      <c r="I51" s="24">
        <v>2803.83</v>
      </c>
      <c r="J51" s="7"/>
      <c r="K51" s="4"/>
      <c r="L51" s="5"/>
    </row>
    <row r="52" spans="1:12" s="6" customFormat="1" ht="31.2" customHeight="1" x14ac:dyDescent="0.25">
      <c r="A52" s="20" t="s">
        <v>267</v>
      </c>
      <c r="B52" s="111" t="s">
        <v>322</v>
      </c>
      <c r="C52" s="106" t="s">
        <v>323</v>
      </c>
      <c r="D52" s="43" t="s">
        <v>254</v>
      </c>
      <c r="E52" s="105">
        <f>'Memoria de Calculo c'!D50</f>
        <v>90.06</v>
      </c>
      <c r="F52" s="107">
        <v>10.220000000000001</v>
      </c>
      <c r="G52" s="24">
        <f t="shared" si="0"/>
        <v>920.41320000000007</v>
      </c>
      <c r="H52" s="25">
        <f t="shared" si="1"/>
        <v>13.266596254546684</v>
      </c>
      <c r="I52" s="24">
        <v>1195.0999999999999</v>
      </c>
      <c r="J52" s="7"/>
      <c r="K52" s="4"/>
      <c r="L52" s="5"/>
    </row>
    <row r="53" spans="1:12" s="6" customFormat="1" ht="58.2" customHeight="1" x14ac:dyDescent="0.25">
      <c r="A53" s="20" t="s">
        <v>268</v>
      </c>
      <c r="B53" s="111" t="s">
        <v>324</v>
      </c>
      <c r="C53" s="106" t="s">
        <v>325</v>
      </c>
      <c r="D53" s="43" t="s">
        <v>71</v>
      </c>
      <c r="E53" s="105">
        <f>'Memoria de Calculo c'!D51</f>
        <v>2.1374999999999997</v>
      </c>
      <c r="F53" s="107">
        <v>740.42</v>
      </c>
      <c r="G53" s="24">
        <f t="shared" si="0"/>
        <v>1582.6477499999996</v>
      </c>
      <c r="H53" s="25">
        <f t="shared" si="1"/>
        <v>961.14023471540656</v>
      </c>
      <c r="I53" s="24">
        <v>2056.84</v>
      </c>
      <c r="J53" s="7"/>
      <c r="K53" s="4"/>
      <c r="L53" s="5"/>
    </row>
    <row r="54" spans="1:12" s="6" customFormat="1" ht="76.2" customHeight="1" x14ac:dyDescent="0.25">
      <c r="A54" s="20" t="s">
        <v>269</v>
      </c>
      <c r="B54" s="111" t="s">
        <v>330</v>
      </c>
      <c r="C54" s="106" t="s">
        <v>329</v>
      </c>
      <c r="D54" s="43" t="s">
        <v>72</v>
      </c>
      <c r="E54" s="105">
        <f>'Memoria de Calculo c'!D52</f>
        <v>43.199999999999996</v>
      </c>
      <c r="F54" s="107">
        <v>149.19</v>
      </c>
      <c r="G54" s="24">
        <f t="shared" si="0"/>
        <v>6445.0079999999989</v>
      </c>
      <c r="H54" s="25">
        <f t="shared" si="1"/>
        <v>193.66374708569663</v>
      </c>
      <c r="I54" s="24">
        <v>8366.11</v>
      </c>
      <c r="J54" s="7"/>
      <c r="K54" s="4"/>
      <c r="L54" s="5"/>
    </row>
    <row r="55" spans="1:12" s="6" customFormat="1" ht="66" customHeight="1" x14ac:dyDescent="0.25">
      <c r="A55" s="20" t="s">
        <v>270</v>
      </c>
      <c r="B55" s="111" t="s">
        <v>331</v>
      </c>
      <c r="C55" s="106" t="s">
        <v>332</v>
      </c>
      <c r="D55" s="43" t="s">
        <v>72</v>
      </c>
      <c r="E55" s="105">
        <f>'Memoria de Calculo c'!D53</f>
        <v>1.08</v>
      </c>
      <c r="F55" s="107">
        <v>577.03</v>
      </c>
      <c r="G55" s="24">
        <f t="shared" si="0"/>
        <v>623.19240000000002</v>
      </c>
      <c r="H55" s="25">
        <f t="shared" si="1"/>
        <v>749.0434478239797</v>
      </c>
      <c r="I55" s="24">
        <v>808.96</v>
      </c>
      <c r="J55" s="7"/>
      <c r="K55" s="4"/>
      <c r="L55" s="5"/>
    </row>
    <row r="56" spans="1:12" s="6" customFormat="1" ht="61.2" customHeight="1" x14ac:dyDescent="0.25">
      <c r="A56" s="20" t="s">
        <v>271</v>
      </c>
      <c r="B56" s="111" t="s">
        <v>334</v>
      </c>
      <c r="C56" s="106" t="s">
        <v>333</v>
      </c>
      <c r="D56" s="43" t="s">
        <v>72</v>
      </c>
      <c r="E56" s="105">
        <f>'Memoria de Calculo c'!D54</f>
        <v>87.48</v>
      </c>
      <c r="F56" s="107">
        <v>20.88</v>
      </c>
      <c r="G56" s="24">
        <f t="shared" si="0"/>
        <v>1826.5824</v>
      </c>
      <c r="H56" s="25">
        <f t="shared" si="1"/>
        <v>27.104357122792049</v>
      </c>
      <c r="I56" s="24">
        <v>2370.71</v>
      </c>
      <c r="J56" s="7"/>
      <c r="K56" s="4"/>
      <c r="L56" s="5"/>
    </row>
    <row r="57" spans="1:12" s="6" customFormat="1" ht="48.6" customHeight="1" x14ac:dyDescent="0.25">
      <c r="A57" s="20" t="s">
        <v>272</v>
      </c>
      <c r="B57" s="111" t="s">
        <v>280</v>
      </c>
      <c r="C57" s="106" t="s">
        <v>279</v>
      </c>
      <c r="D57" s="43" t="s">
        <v>72</v>
      </c>
      <c r="E57" s="105">
        <f>'Memoria de Calculo c'!D55</f>
        <v>52</v>
      </c>
      <c r="F57" s="107">
        <v>60.11</v>
      </c>
      <c r="G57" s="24">
        <f t="shared" si="0"/>
        <v>3125.72</v>
      </c>
      <c r="H57" s="25">
        <f t="shared" si="1"/>
        <v>78.028874839608719</v>
      </c>
      <c r="I57" s="24">
        <v>4057.56</v>
      </c>
      <c r="J57" s="7"/>
      <c r="K57" s="4"/>
      <c r="L57" s="5"/>
    </row>
    <row r="58" spans="1:12" s="6" customFormat="1" ht="49.2" customHeight="1" x14ac:dyDescent="0.25">
      <c r="A58" s="20" t="s">
        <v>273</v>
      </c>
      <c r="B58" s="21" t="s">
        <v>190</v>
      </c>
      <c r="C58" s="34" t="s">
        <v>422</v>
      </c>
      <c r="D58" s="21" t="s">
        <v>71</v>
      </c>
      <c r="E58" s="105">
        <f>'Memoria de Calculo c'!D56</f>
        <v>3.12</v>
      </c>
      <c r="F58" s="23">
        <v>556.91</v>
      </c>
      <c r="G58" s="24">
        <f t="shared" si="0"/>
        <v>1737.5591999999999</v>
      </c>
      <c r="H58" s="25">
        <f t="shared" si="1"/>
        <v>722.92564776121264</v>
      </c>
      <c r="I58" s="24">
        <v>2255.54</v>
      </c>
      <c r="J58" s="7"/>
      <c r="K58" s="4"/>
      <c r="L58" s="5"/>
    </row>
    <row r="59" spans="1:12" s="6" customFormat="1" ht="45.6" customHeight="1" x14ac:dyDescent="0.25">
      <c r="A59" s="20" t="s">
        <v>425</v>
      </c>
      <c r="B59" s="111" t="s">
        <v>282</v>
      </c>
      <c r="C59" s="106" t="s">
        <v>281</v>
      </c>
      <c r="D59" s="43" t="s">
        <v>71</v>
      </c>
      <c r="E59" s="105">
        <f>'Memoria de Calculo c'!D57</f>
        <v>12</v>
      </c>
      <c r="F59" s="107">
        <v>165</v>
      </c>
      <c r="G59" s="24">
        <f t="shared" si="0"/>
        <v>1980</v>
      </c>
      <c r="H59" s="25">
        <f t="shared" si="1"/>
        <v>214.18673013700615</v>
      </c>
      <c r="I59" s="24">
        <v>2570.2800000000002</v>
      </c>
      <c r="J59" s="7"/>
      <c r="K59" s="4"/>
      <c r="L59" s="5"/>
    </row>
    <row r="60" spans="1:12" s="6" customFormat="1" ht="46.2" customHeight="1" x14ac:dyDescent="0.25">
      <c r="A60" s="20" t="s">
        <v>426</v>
      </c>
      <c r="B60" s="111" t="s">
        <v>284</v>
      </c>
      <c r="C60" s="106" t="s">
        <v>283</v>
      </c>
      <c r="D60" s="43" t="s">
        <v>77</v>
      </c>
      <c r="E60" s="105">
        <f>'Memoria de Calculo c'!D58</f>
        <v>288</v>
      </c>
      <c r="F60" s="107">
        <v>1.65</v>
      </c>
      <c r="G60" s="24">
        <f t="shared" si="0"/>
        <v>475.2</v>
      </c>
      <c r="H60" s="25">
        <f t="shared" si="1"/>
        <v>2.1418673013700613</v>
      </c>
      <c r="I60" s="24">
        <v>616.32000000000005</v>
      </c>
      <c r="J60" s="7"/>
      <c r="K60" s="4"/>
      <c r="L60" s="5"/>
    </row>
    <row r="61" spans="1:12" s="6" customFormat="1" ht="46.2" customHeight="1" x14ac:dyDescent="0.25">
      <c r="A61" s="20" t="s">
        <v>427</v>
      </c>
      <c r="B61" s="111" t="s">
        <v>424</v>
      </c>
      <c r="C61" s="106" t="s">
        <v>423</v>
      </c>
      <c r="D61" s="43" t="s">
        <v>72</v>
      </c>
      <c r="E61" s="105">
        <f>'Memoria de Calculo c'!D59</f>
        <v>52</v>
      </c>
      <c r="F61" s="107">
        <v>12.98</v>
      </c>
      <c r="G61" s="24">
        <f t="shared" si="0"/>
        <v>674.96</v>
      </c>
      <c r="H61" s="25">
        <f t="shared" si="1"/>
        <v>16.849356104111152</v>
      </c>
      <c r="I61" s="24">
        <v>876.2</v>
      </c>
      <c r="J61" s="7"/>
      <c r="K61" s="4"/>
      <c r="L61" s="5"/>
    </row>
    <row r="62" spans="1:12" s="6" customFormat="1" ht="46.2" customHeight="1" x14ac:dyDescent="0.25">
      <c r="A62" s="20" t="s">
        <v>428</v>
      </c>
      <c r="B62" s="111" t="s">
        <v>361</v>
      </c>
      <c r="C62" s="106" t="s">
        <v>360</v>
      </c>
      <c r="D62" s="43" t="s">
        <v>70</v>
      </c>
      <c r="E62" s="105">
        <f>'Memoria de Calculo c'!D60</f>
        <v>1</v>
      </c>
      <c r="F62" s="107">
        <v>5215.07</v>
      </c>
      <c r="G62" s="24">
        <f t="shared" si="0"/>
        <v>5215.07</v>
      </c>
      <c r="H62" s="25">
        <f t="shared" si="1"/>
        <v>6769.6896408217972</v>
      </c>
      <c r="I62" s="24">
        <f t="shared" ref="I62:I66" si="4">H62*E62</f>
        <v>6769.6896408217972</v>
      </c>
      <c r="J62" s="7"/>
      <c r="K62" s="4"/>
      <c r="L62" s="5"/>
    </row>
    <row r="63" spans="1:12" s="6" customFormat="1" ht="46.2" customHeight="1" x14ac:dyDescent="0.25">
      <c r="A63" s="20" t="s">
        <v>429</v>
      </c>
      <c r="B63" s="111" t="s">
        <v>363</v>
      </c>
      <c r="C63" s="106" t="s">
        <v>362</v>
      </c>
      <c r="D63" s="43" t="s">
        <v>70</v>
      </c>
      <c r="E63" s="105">
        <f>'Memoria de Calculo c'!D61</f>
        <v>1</v>
      </c>
      <c r="F63" s="107">
        <v>3895.81</v>
      </c>
      <c r="G63" s="24">
        <f t="shared" si="0"/>
        <v>3895.81</v>
      </c>
      <c r="H63" s="25">
        <f t="shared" si="1"/>
        <v>5057.1563947578779</v>
      </c>
      <c r="I63" s="24">
        <f t="shared" si="4"/>
        <v>5057.1563947578779</v>
      </c>
      <c r="J63" s="7"/>
      <c r="K63" s="4"/>
      <c r="L63" s="5"/>
    </row>
    <row r="64" spans="1:12" s="6" customFormat="1" ht="46.2" customHeight="1" x14ac:dyDescent="0.25">
      <c r="A64" s="20" t="s">
        <v>430</v>
      </c>
      <c r="B64" s="111" t="s">
        <v>365</v>
      </c>
      <c r="C64" s="106" t="s">
        <v>364</v>
      </c>
      <c r="D64" s="43" t="s">
        <v>70</v>
      </c>
      <c r="E64" s="105">
        <f>'Memoria de Calculo c'!D62</f>
        <v>1</v>
      </c>
      <c r="F64" s="107">
        <v>2072.08</v>
      </c>
      <c r="G64" s="24">
        <f t="shared" si="0"/>
        <v>2072.08</v>
      </c>
      <c r="H64" s="25">
        <f t="shared" si="1"/>
        <v>2689.7699380744707</v>
      </c>
      <c r="I64" s="24">
        <f t="shared" si="4"/>
        <v>2689.7699380744707</v>
      </c>
      <c r="J64" s="7"/>
      <c r="K64" s="4"/>
      <c r="L64" s="5"/>
    </row>
    <row r="65" spans="1:12" s="6" customFormat="1" ht="81.599999999999994" customHeight="1" x14ac:dyDescent="0.25">
      <c r="A65" s="20" t="s">
        <v>431</v>
      </c>
      <c r="B65" s="111" t="s">
        <v>367</v>
      </c>
      <c r="C65" s="106" t="s">
        <v>366</v>
      </c>
      <c r="D65" s="43" t="s">
        <v>70</v>
      </c>
      <c r="E65" s="105">
        <f>'Memoria de Calculo c'!D63</f>
        <v>2</v>
      </c>
      <c r="F65" s="107">
        <v>1406.56</v>
      </c>
      <c r="G65" s="24">
        <f t="shared" si="0"/>
        <v>2813.12</v>
      </c>
      <c r="H65" s="25">
        <f t="shared" si="1"/>
        <v>1825.8574978273173</v>
      </c>
      <c r="I65" s="24">
        <v>3651.72</v>
      </c>
      <c r="J65" s="7"/>
      <c r="K65" s="4"/>
      <c r="L65" s="5"/>
    </row>
    <row r="66" spans="1:12" s="6" customFormat="1" ht="46.2" customHeight="1" thickBot="1" x14ac:dyDescent="0.3">
      <c r="A66" s="20" t="s">
        <v>432</v>
      </c>
      <c r="B66" s="31" t="s">
        <v>174</v>
      </c>
      <c r="C66" s="34" t="s">
        <v>154</v>
      </c>
      <c r="D66" s="21" t="s">
        <v>70</v>
      </c>
      <c r="E66" s="105">
        <f>'Memoria de Calculo c'!D64</f>
        <v>1</v>
      </c>
      <c r="F66" s="23">
        <v>444.45</v>
      </c>
      <c r="G66" s="24">
        <f t="shared" si="0"/>
        <v>444.45</v>
      </c>
      <c r="H66" s="25">
        <f t="shared" si="1"/>
        <v>576.9411649054083</v>
      </c>
      <c r="I66" s="24">
        <f t="shared" si="4"/>
        <v>576.9411649054083</v>
      </c>
      <c r="J66" s="7"/>
      <c r="K66" s="4"/>
      <c r="L66" s="5"/>
    </row>
    <row r="67" spans="1:12" s="6" customFormat="1" ht="22.8" customHeight="1" thickBot="1" x14ac:dyDescent="0.3">
      <c r="A67" s="57" t="s">
        <v>263</v>
      </c>
      <c r="B67" s="58" t="s">
        <v>3</v>
      </c>
      <c r="C67" s="58" t="s">
        <v>3</v>
      </c>
      <c r="D67" s="58" t="s">
        <v>3</v>
      </c>
      <c r="E67" s="59" t="s">
        <v>3</v>
      </c>
      <c r="F67" s="60"/>
      <c r="G67" s="61"/>
      <c r="H67" s="60" t="s">
        <v>34</v>
      </c>
      <c r="I67" s="95">
        <f>SUM(I41,I32,I25,I22,I17,I49)</f>
        <v>89720.465228278787</v>
      </c>
      <c r="J67" s="7">
        <v>84661.66</v>
      </c>
      <c r="K67" s="4"/>
      <c r="L67" s="5"/>
    </row>
    <row r="68" spans="1:12" s="6" customFormat="1" ht="15" customHeight="1" thickBot="1" x14ac:dyDescent="0.3">
      <c r="A68" s="209" t="s">
        <v>460</v>
      </c>
      <c r="B68" s="212"/>
      <c r="C68" s="212"/>
      <c r="D68" s="212"/>
      <c r="E68" s="212"/>
      <c r="F68" s="212"/>
      <c r="G68" s="212"/>
      <c r="H68" s="212"/>
      <c r="I68" s="213"/>
      <c r="J68" s="7"/>
      <c r="K68" s="4"/>
      <c r="L68" s="5"/>
    </row>
    <row r="69" spans="1:12" s="6" customFormat="1" ht="15" customHeight="1" x14ac:dyDescent="0.25">
      <c r="A69" s="102" t="s">
        <v>46</v>
      </c>
      <c r="B69" s="43"/>
      <c r="C69" s="44" t="s">
        <v>44</v>
      </c>
      <c r="D69" s="43"/>
      <c r="E69" s="104"/>
      <c r="F69" s="107"/>
      <c r="G69" s="108"/>
      <c r="H69" s="109"/>
      <c r="I69" s="110">
        <f>SUM(I70:I71)</f>
        <v>6471.61</v>
      </c>
      <c r="J69" s="7"/>
      <c r="K69" s="4"/>
      <c r="L69" s="5"/>
    </row>
    <row r="70" spans="1:12" s="6" customFormat="1" ht="69" x14ac:dyDescent="0.25">
      <c r="A70" s="20" t="s">
        <v>47</v>
      </c>
      <c r="B70" s="31" t="s">
        <v>172</v>
      </c>
      <c r="C70" s="34" t="s">
        <v>97</v>
      </c>
      <c r="D70" s="21" t="s">
        <v>70</v>
      </c>
      <c r="E70" s="50">
        <f>'Memoria de Calculo c'!D67</f>
        <v>1</v>
      </c>
      <c r="F70" s="23">
        <v>1366.74</v>
      </c>
      <c r="G70" s="24">
        <f t="shared" ref="G70:G71" si="5">F70*E70</f>
        <v>1366.74</v>
      </c>
      <c r="H70" s="25">
        <f t="shared" ref="H70:H71" si="6">F70*(1+$I$6)</f>
        <v>1774.1671002875864</v>
      </c>
      <c r="I70" s="24">
        <v>1774.17</v>
      </c>
      <c r="J70" s="7"/>
      <c r="K70" s="4"/>
      <c r="L70" s="5"/>
    </row>
    <row r="71" spans="1:12" s="6" customFormat="1" ht="58.2" customHeight="1" x14ac:dyDescent="0.25">
      <c r="A71" s="20" t="s">
        <v>96</v>
      </c>
      <c r="B71" s="31" t="s">
        <v>188</v>
      </c>
      <c r="C71" s="34" t="s">
        <v>187</v>
      </c>
      <c r="D71" s="21" t="s">
        <v>73</v>
      </c>
      <c r="E71" s="50">
        <f>'Memoria de Calculo c'!D68</f>
        <v>88</v>
      </c>
      <c r="F71" s="23">
        <v>41.12</v>
      </c>
      <c r="G71" s="24">
        <f t="shared" si="5"/>
        <v>3618.56</v>
      </c>
      <c r="H71" s="25">
        <f t="shared" si="6"/>
        <v>53.377929352931467</v>
      </c>
      <c r="I71" s="24">
        <v>4697.4399999999996</v>
      </c>
      <c r="J71" s="7"/>
      <c r="K71" s="4"/>
      <c r="L71" s="5"/>
    </row>
    <row r="72" spans="1:12" s="6" customFormat="1" x14ac:dyDescent="0.25">
      <c r="A72" s="102" t="s">
        <v>51</v>
      </c>
      <c r="B72" s="43"/>
      <c r="C72" s="44" t="s">
        <v>326</v>
      </c>
      <c r="D72" s="43"/>
      <c r="E72" s="104"/>
      <c r="F72" s="107"/>
      <c r="G72" s="108"/>
      <c r="H72" s="109"/>
      <c r="I72" s="110">
        <f>SUM(I73:I79)</f>
        <v>34571.350000000006</v>
      </c>
      <c r="J72" s="7"/>
      <c r="K72" s="4"/>
      <c r="L72" s="5"/>
    </row>
    <row r="73" spans="1:12" s="6" customFormat="1" ht="36" customHeight="1" x14ac:dyDescent="0.25">
      <c r="A73" s="42" t="s">
        <v>52</v>
      </c>
      <c r="B73" s="111" t="s">
        <v>255</v>
      </c>
      <c r="C73" s="106" t="s">
        <v>318</v>
      </c>
      <c r="D73" s="43" t="s">
        <v>71</v>
      </c>
      <c r="E73" s="105">
        <f>'Memoria de Calculo c'!D70</f>
        <v>1.83</v>
      </c>
      <c r="F73" s="107">
        <v>102.24</v>
      </c>
      <c r="G73" s="24">
        <f t="shared" ref="G73:G79" si="7">F73*E73</f>
        <v>187.0992</v>
      </c>
      <c r="H73" s="25">
        <f t="shared" ref="H73:H79" si="8">F73*(1+$I$6)</f>
        <v>132.71788660125762</v>
      </c>
      <c r="I73" s="24">
        <v>242.88</v>
      </c>
      <c r="J73" s="7"/>
      <c r="K73" s="4"/>
      <c r="L73" s="5"/>
    </row>
    <row r="74" spans="1:12" s="6" customFormat="1" ht="39" customHeight="1" x14ac:dyDescent="0.25">
      <c r="A74" s="42" t="s">
        <v>53</v>
      </c>
      <c r="B74" s="111" t="s">
        <v>320</v>
      </c>
      <c r="C74" s="106" t="s">
        <v>319</v>
      </c>
      <c r="D74" s="43" t="s">
        <v>72</v>
      </c>
      <c r="E74" s="105">
        <f>'Memoria de Calculo c'!D71</f>
        <v>20.333333333333332</v>
      </c>
      <c r="F74" s="107">
        <v>75.790000000000006</v>
      </c>
      <c r="G74" s="24">
        <f t="shared" si="7"/>
        <v>1541.0633333333333</v>
      </c>
      <c r="H74" s="25">
        <f t="shared" si="8"/>
        <v>98.383104709598157</v>
      </c>
      <c r="I74" s="24">
        <v>2000.07</v>
      </c>
      <c r="J74" s="7"/>
      <c r="K74" s="4"/>
      <c r="L74" s="5"/>
    </row>
    <row r="75" spans="1:12" s="6" customFormat="1" ht="39" customHeight="1" x14ac:dyDescent="0.25">
      <c r="A75" s="42" t="s">
        <v>258</v>
      </c>
      <c r="B75" s="111" t="s">
        <v>322</v>
      </c>
      <c r="C75" s="106" t="s">
        <v>323</v>
      </c>
      <c r="D75" s="43" t="s">
        <v>254</v>
      </c>
      <c r="E75" s="105">
        <f>'Memoria de Calculo c'!D72</f>
        <v>192.76000000000002</v>
      </c>
      <c r="F75" s="107">
        <v>10.220000000000001</v>
      </c>
      <c r="G75" s="108">
        <f t="shared" si="7"/>
        <v>1970.0072000000002</v>
      </c>
      <c r="H75" s="109">
        <f t="shared" si="8"/>
        <v>13.266596254546684</v>
      </c>
      <c r="I75" s="108">
        <v>2557.9299999999998</v>
      </c>
      <c r="J75" s="7"/>
      <c r="K75" s="4"/>
      <c r="L75" s="5"/>
    </row>
    <row r="76" spans="1:12" s="6" customFormat="1" ht="49.8" customHeight="1" x14ac:dyDescent="0.25">
      <c r="A76" s="42" t="s">
        <v>259</v>
      </c>
      <c r="B76" s="111" t="s">
        <v>324</v>
      </c>
      <c r="C76" s="106" t="s">
        <v>325</v>
      </c>
      <c r="D76" s="43" t="s">
        <v>71</v>
      </c>
      <c r="E76" s="105">
        <f>'Memoria de Calculo c'!D73</f>
        <v>4.5750000000000002</v>
      </c>
      <c r="F76" s="107">
        <v>740.42</v>
      </c>
      <c r="G76" s="108">
        <f t="shared" si="7"/>
        <v>3387.4214999999999</v>
      </c>
      <c r="H76" s="109">
        <f t="shared" si="8"/>
        <v>961.14023471540656</v>
      </c>
      <c r="I76" s="108">
        <v>4402.0200000000004</v>
      </c>
      <c r="J76" s="7"/>
      <c r="K76" s="4"/>
      <c r="L76" s="5"/>
    </row>
    <row r="77" spans="1:12" s="6" customFormat="1" ht="77.400000000000006" customHeight="1" x14ac:dyDescent="0.25">
      <c r="A77" s="42" t="s">
        <v>260</v>
      </c>
      <c r="B77" s="111" t="s">
        <v>330</v>
      </c>
      <c r="C77" s="106" t="s">
        <v>329</v>
      </c>
      <c r="D77" s="43" t="s">
        <v>72</v>
      </c>
      <c r="E77" s="105">
        <f>'Memoria de Calculo c'!D74</f>
        <v>93.6</v>
      </c>
      <c r="F77" s="107">
        <v>149.19</v>
      </c>
      <c r="G77" s="108">
        <f t="shared" si="7"/>
        <v>13964.183999999999</v>
      </c>
      <c r="H77" s="109">
        <f t="shared" si="8"/>
        <v>193.66374708569663</v>
      </c>
      <c r="I77" s="108">
        <v>18126.580000000002</v>
      </c>
      <c r="J77" s="7"/>
      <c r="K77" s="4"/>
      <c r="L77" s="5"/>
    </row>
    <row r="78" spans="1:12" s="6" customFormat="1" ht="66" customHeight="1" x14ac:dyDescent="0.25">
      <c r="A78" s="42" t="s">
        <v>261</v>
      </c>
      <c r="B78" s="111" t="s">
        <v>331</v>
      </c>
      <c r="C78" s="106" t="s">
        <v>332</v>
      </c>
      <c r="D78" s="43" t="s">
        <v>72</v>
      </c>
      <c r="E78" s="105">
        <f>'Memoria de Calculo c'!D75</f>
        <v>2.7</v>
      </c>
      <c r="F78" s="107">
        <v>577.03</v>
      </c>
      <c r="G78" s="108">
        <f t="shared" si="7"/>
        <v>1557.981</v>
      </c>
      <c r="H78" s="109">
        <f t="shared" si="8"/>
        <v>749.0434478239797</v>
      </c>
      <c r="I78" s="108">
        <v>2022.41</v>
      </c>
      <c r="J78" s="7"/>
      <c r="K78" s="4"/>
      <c r="L78" s="5"/>
    </row>
    <row r="79" spans="1:12" s="6" customFormat="1" ht="65.400000000000006" customHeight="1" x14ac:dyDescent="0.25">
      <c r="A79" s="42" t="s">
        <v>262</v>
      </c>
      <c r="B79" s="111" t="s">
        <v>334</v>
      </c>
      <c r="C79" s="106" t="s">
        <v>333</v>
      </c>
      <c r="D79" s="43" t="s">
        <v>72</v>
      </c>
      <c r="E79" s="105">
        <f>'Memoria de Calculo c'!D76</f>
        <v>192.6</v>
      </c>
      <c r="F79" s="107">
        <v>20.88</v>
      </c>
      <c r="G79" s="108">
        <f t="shared" si="7"/>
        <v>4021.4879999999998</v>
      </c>
      <c r="H79" s="109">
        <f t="shared" si="8"/>
        <v>27.104357122792049</v>
      </c>
      <c r="I79" s="108">
        <v>5219.46</v>
      </c>
      <c r="J79" s="7"/>
      <c r="K79" s="4"/>
      <c r="L79" s="5"/>
    </row>
    <row r="80" spans="1:12" s="6" customFormat="1" ht="36" customHeight="1" x14ac:dyDescent="0.25">
      <c r="A80" s="102" t="s">
        <v>57</v>
      </c>
      <c r="B80" s="43"/>
      <c r="C80" s="44" t="s">
        <v>113</v>
      </c>
      <c r="D80" s="43"/>
      <c r="E80" s="104"/>
      <c r="F80" s="107"/>
      <c r="G80" s="108"/>
      <c r="H80" s="109"/>
      <c r="I80" s="110">
        <f>SUM(I81:I85)</f>
        <v>93552.6</v>
      </c>
      <c r="J80" s="7"/>
      <c r="K80" s="4"/>
      <c r="L80" s="5"/>
    </row>
    <row r="81" spans="1:12" s="6" customFormat="1" ht="49.2" customHeight="1" x14ac:dyDescent="0.25">
      <c r="A81" s="42" t="s">
        <v>58</v>
      </c>
      <c r="B81" s="111" t="s">
        <v>280</v>
      </c>
      <c r="C81" s="106" t="s">
        <v>279</v>
      </c>
      <c r="D81" s="43" t="s">
        <v>72</v>
      </c>
      <c r="E81" s="105">
        <f>'Memoria de Calculo c'!D78</f>
        <v>240</v>
      </c>
      <c r="F81" s="107">
        <v>60.11</v>
      </c>
      <c r="G81" s="24">
        <f t="shared" ref="G81:G85" si="9">F81*E81</f>
        <v>14426.4</v>
      </c>
      <c r="H81" s="25">
        <f t="shared" ref="H81:H85" si="10">F81*(1+$I$6)</f>
        <v>78.028874839608719</v>
      </c>
      <c r="I81" s="24">
        <v>18727.2</v>
      </c>
      <c r="J81" s="7"/>
      <c r="K81" s="4"/>
      <c r="L81" s="5"/>
    </row>
    <row r="82" spans="1:12" s="6" customFormat="1" ht="73.8" customHeight="1" x14ac:dyDescent="0.25">
      <c r="A82" s="42" t="s">
        <v>59</v>
      </c>
      <c r="B82" s="111" t="s">
        <v>278</v>
      </c>
      <c r="C82" s="106" t="s">
        <v>277</v>
      </c>
      <c r="D82" s="43" t="s">
        <v>72</v>
      </c>
      <c r="E82" s="105">
        <f>'Memoria de Calculo c'!D79</f>
        <v>240</v>
      </c>
      <c r="F82" s="107">
        <v>154.19999999999999</v>
      </c>
      <c r="G82" s="24">
        <f t="shared" si="9"/>
        <v>37008</v>
      </c>
      <c r="H82" s="25">
        <f t="shared" si="10"/>
        <v>200.167235073493</v>
      </c>
      <c r="I82" s="24">
        <v>48040.800000000003</v>
      </c>
      <c r="J82" s="7"/>
      <c r="K82" s="4"/>
      <c r="L82" s="5"/>
    </row>
    <row r="83" spans="1:12" s="6" customFormat="1" ht="46.8" customHeight="1" x14ac:dyDescent="0.25">
      <c r="A83" s="42" t="s">
        <v>159</v>
      </c>
      <c r="B83" s="111" t="s">
        <v>282</v>
      </c>
      <c r="C83" s="106" t="s">
        <v>281</v>
      </c>
      <c r="D83" s="43" t="s">
        <v>71</v>
      </c>
      <c r="E83" s="105">
        <f>'Memoria de Calculo c'!D80</f>
        <v>36</v>
      </c>
      <c r="F83" s="107">
        <v>165</v>
      </c>
      <c r="G83" s="24">
        <f t="shared" si="9"/>
        <v>5940</v>
      </c>
      <c r="H83" s="25">
        <f t="shared" si="10"/>
        <v>214.18673013700615</v>
      </c>
      <c r="I83" s="24">
        <v>7710.84</v>
      </c>
      <c r="J83" s="7"/>
      <c r="K83" s="4"/>
      <c r="L83" s="5"/>
    </row>
    <row r="84" spans="1:12" s="6" customFormat="1" ht="43.8" customHeight="1" x14ac:dyDescent="0.25">
      <c r="A84" s="42" t="s">
        <v>160</v>
      </c>
      <c r="B84" s="111" t="s">
        <v>284</v>
      </c>
      <c r="C84" s="106" t="s">
        <v>283</v>
      </c>
      <c r="D84" s="43" t="s">
        <v>77</v>
      </c>
      <c r="E84" s="105">
        <f>'Memoria de Calculo c'!D81</f>
        <v>864</v>
      </c>
      <c r="F84" s="107">
        <v>1.65</v>
      </c>
      <c r="G84" s="24">
        <f t="shared" si="9"/>
        <v>1425.6</v>
      </c>
      <c r="H84" s="25">
        <f t="shared" si="10"/>
        <v>2.1418673013700613</v>
      </c>
      <c r="I84" s="24">
        <v>1848.96</v>
      </c>
      <c r="J84" s="7"/>
      <c r="K84" s="4"/>
      <c r="L84" s="5"/>
    </row>
    <row r="85" spans="1:12" s="6" customFormat="1" ht="39" customHeight="1" x14ac:dyDescent="0.25">
      <c r="A85" s="42" t="s">
        <v>161</v>
      </c>
      <c r="B85" s="111" t="s">
        <v>336</v>
      </c>
      <c r="C85" s="106" t="s">
        <v>335</v>
      </c>
      <c r="D85" s="43" t="s">
        <v>72</v>
      </c>
      <c r="E85" s="105">
        <f>'Memoria de Calculo c'!D82</f>
        <v>240</v>
      </c>
      <c r="F85" s="107">
        <v>55.29</v>
      </c>
      <c r="G85" s="24">
        <f t="shared" si="9"/>
        <v>13269.6</v>
      </c>
      <c r="H85" s="109">
        <f t="shared" si="10"/>
        <v>71.772026116818608</v>
      </c>
      <c r="I85" s="24">
        <v>17224.8</v>
      </c>
      <c r="J85" s="7"/>
      <c r="K85" s="4"/>
      <c r="L85" s="5"/>
    </row>
    <row r="86" spans="1:12" s="6" customFormat="1" ht="45" customHeight="1" x14ac:dyDescent="0.25">
      <c r="A86" s="102" t="s">
        <v>62</v>
      </c>
      <c r="B86" s="43"/>
      <c r="C86" s="44" t="s">
        <v>189</v>
      </c>
      <c r="D86" s="43"/>
      <c r="E86" s="104"/>
      <c r="F86" s="107"/>
      <c r="G86" s="108"/>
      <c r="H86" s="109"/>
      <c r="I86" s="110">
        <f>SUM(I87:I102)</f>
        <v>28718.043440648431</v>
      </c>
      <c r="J86" s="7"/>
      <c r="K86" s="4"/>
      <c r="L86" s="5"/>
    </row>
    <row r="87" spans="1:12" s="6" customFormat="1" ht="39" customHeight="1" x14ac:dyDescent="0.25">
      <c r="A87" s="42" t="s">
        <v>63</v>
      </c>
      <c r="B87" s="21" t="s">
        <v>211</v>
      </c>
      <c r="C87" s="34" t="s">
        <v>232</v>
      </c>
      <c r="D87" s="21" t="s">
        <v>72</v>
      </c>
      <c r="E87" s="50">
        <f>'Memoria de Calculo c'!D84</f>
        <v>44.91</v>
      </c>
      <c r="F87" s="23">
        <v>113.84</v>
      </c>
      <c r="G87" s="24">
        <f t="shared" ref="G87:G102" si="11">F87*E87</f>
        <v>5112.5544</v>
      </c>
      <c r="H87" s="109">
        <f t="shared" ref="H87:H102" si="12">F87*(1+$I$6)</f>
        <v>147.77586278058655</v>
      </c>
      <c r="I87" s="24">
        <v>6636.8</v>
      </c>
      <c r="J87" s="7"/>
      <c r="K87" s="4"/>
      <c r="L87" s="5"/>
    </row>
    <row r="88" spans="1:12" s="6" customFormat="1" ht="48" customHeight="1" x14ac:dyDescent="0.25">
      <c r="A88" s="42" t="s">
        <v>75</v>
      </c>
      <c r="B88" s="21">
        <v>94446</v>
      </c>
      <c r="C88" s="34" t="s">
        <v>164</v>
      </c>
      <c r="D88" s="21" t="s">
        <v>72</v>
      </c>
      <c r="E88" s="50">
        <f>'Memoria de Calculo c'!D85</f>
        <v>44.91</v>
      </c>
      <c r="F88" s="23">
        <v>102.76</v>
      </c>
      <c r="G88" s="24">
        <f t="shared" si="11"/>
        <v>4614.9516000000003</v>
      </c>
      <c r="H88" s="109">
        <f t="shared" si="12"/>
        <v>133.3928993265379</v>
      </c>
      <c r="I88" s="24">
        <v>5990.54</v>
      </c>
      <c r="J88" s="7"/>
      <c r="K88" s="4"/>
      <c r="L88" s="5"/>
    </row>
    <row r="89" spans="1:12" s="6" customFormat="1" ht="41.4" x14ac:dyDescent="0.25">
      <c r="A89" s="42" t="s">
        <v>170</v>
      </c>
      <c r="B89" s="21">
        <v>94219</v>
      </c>
      <c r="C89" s="34" t="s">
        <v>186</v>
      </c>
      <c r="D89" s="21" t="s">
        <v>73</v>
      </c>
      <c r="E89" s="50">
        <f>'Memoria de Calculo c'!D86</f>
        <v>24.96</v>
      </c>
      <c r="F89" s="23">
        <v>47.04</v>
      </c>
      <c r="G89" s="24">
        <f t="shared" si="11"/>
        <v>1174.1184000000001</v>
      </c>
      <c r="H89" s="109">
        <f t="shared" si="12"/>
        <v>61.062689609968295</v>
      </c>
      <c r="I89" s="24">
        <v>1524.06</v>
      </c>
      <c r="J89" s="7"/>
      <c r="K89" s="4"/>
      <c r="L89" s="5"/>
    </row>
    <row r="90" spans="1:12" s="6" customFormat="1" ht="33" customHeight="1" x14ac:dyDescent="0.25">
      <c r="A90" s="42" t="s">
        <v>171</v>
      </c>
      <c r="B90" s="21">
        <v>2794</v>
      </c>
      <c r="C90" s="34" t="s">
        <v>394</v>
      </c>
      <c r="D90" s="21" t="s">
        <v>73</v>
      </c>
      <c r="E90" s="50">
        <f>'Memoria de Calculo c'!D87</f>
        <v>21</v>
      </c>
      <c r="F90" s="23">
        <v>131.52000000000001</v>
      </c>
      <c r="G90" s="24">
        <f t="shared" si="11"/>
        <v>2761.92</v>
      </c>
      <c r="H90" s="109">
        <f t="shared" si="12"/>
        <v>170.72629544011545</v>
      </c>
      <c r="I90" s="24">
        <v>3585.33</v>
      </c>
      <c r="J90" s="7"/>
      <c r="K90" s="4"/>
      <c r="L90" s="5"/>
    </row>
    <row r="91" spans="1:12" s="6" customFormat="1" ht="49.8" customHeight="1" x14ac:dyDescent="0.25">
      <c r="A91" s="42" t="s">
        <v>184</v>
      </c>
      <c r="B91" s="21">
        <v>92560</v>
      </c>
      <c r="C91" s="34" t="s">
        <v>212</v>
      </c>
      <c r="D91" s="21" t="s">
        <v>70</v>
      </c>
      <c r="E91" s="50">
        <f>'Memoria de Calculo c'!D88</f>
        <v>1</v>
      </c>
      <c r="F91" s="23">
        <v>2659.86</v>
      </c>
      <c r="G91" s="24">
        <f t="shared" si="11"/>
        <v>2659.86</v>
      </c>
      <c r="H91" s="109">
        <f t="shared" si="12"/>
        <v>3452.7679758922254</v>
      </c>
      <c r="I91" s="24">
        <f t="shared" ref="I91:I102" si="13">H91*E91</f>
        <v>3452.7679758922254</v>
      </c>
      <c r="J91" s="7"/>
      <c r="K91" s="4"/>
      <c r="L91" s="5"/>
    </row>
    <row r="92" spans="1:12" s="6" customFormat="1" ht="49.8" customHeight="1" x14ac:dyDescent="0.25">
      <c r="A92" s="42" t="s">
        <v>185</v>
      </c>
      <c r="B92" s="21" t="s">
        <v>180</v>
      </c>
      <c r="C92" s="34" t="s">
        <v>179</v>
      </c>
      <c r="D92" s="21" t="s">
        <v>71</v>
      </c>
      <c r="E92" s="50">
        <f>'Memoria de Calculo c'!D89</f>
        <v>0.75</v>
      </c>
      <c r="F92" s="23">
        <v>41.84</v>
      </c>
      <c r="G92" s="24">
        <f t="shared" si="11"/>
        <v>31.380000000000003</v>
      </c>
      <c r="H92" s="109">
        <f t="shared" si="12"/>
        <v>54.312562357165682</v>
      </c>
      <c r="I92" s="24">
        <f t="shared" si="13"/>
        <v>40.73442176787426</v>
      </c>
      <c r="J92" s="7"/>
      <c r="K92" s="4"/>
      <c r="L92" s="5"/>
    </row>
    <row r="93" spans="1:12" s="6" customFormat="1" ht="57.6" customHeight="1" x14ac:dyDescent="0.25">
      <c r="A93" s="42" t="s">
        <v>208</v>
      </c>
      <c r="B93" s="21" t="s">
        <v>183</v>
      </c>
      <c r="C93" s="34" t="s">
        <v>182</v>
      </c>
      <c r="D93" s="21" t="s">
        <v>71</v>
      </c>
      <c r="E93" s="50">
        <f>'Memoria de Calculo c'!D90</f>
        <v>0.75</v>
      </c>
      <c r="F93" s="23">
        <v>760.51</v>
      </c>
      <c r="G93" s="24">
        <f t="shared" si="11"/>
        <v>570.38249999999994</v>
      </c>
      <c r="H93" s="109">
        <f t="shared" si="12"/>
        <v>987.21909173633048</v>
      </c>
      <c r="I93" s="24">
        <v>740.42</v>
      </c>
      <c r="J93" s="7"/>
      <c r="K93" s="4"/>
      <c r="L93" s="5"/>
    </row>
    <row r="94" spans="1:12" s="6" customFormat="1" ht="31.2" customHeight="1" x14ac:dyDescent="0.25">
      <c r="A94" s="42" t="s">
        <v>213</v>
      </c>
      <c r="B94" s="21" t="s">
        <v>207</v>
      </c>
      <c r="C94" s="34" t="s">
        <v>206</v>
      </c>
      <c r="D94" s="21" t="s">
        <v>71</v>
      </c>
      <c r="E94" s="50">
        <f>'Memoria de Calculo c'!D91</f>
        <v>0.61699999999999999</v>
      </c>
      <c r="F94" s="23">
        <v>2526.8200000000002</v>
      </c>
      <c r="G94" s="24">
        <f t="shared" si="11"/>
        <v>1559.0479400000002</v>
      </c>
      <c r="H94" s="109">
        <f t="shared" si="12"/>
        <v>3280.0685663320601</v>
      </c>
      <c r="I94" s="24">
        <v>2033.64</v>
      </c>
      <c r="J94" s="7"/>
      <c r="K94" s="4"/>
      <c r="L94" s="5"/>
    </row>
    <row r="95" spans="1:12" s="6" customFormat="1" ht="43.2" customHeight="1" x14ac:dyDescent="0.25">
      <c r="A95" s="42" t="s">
        <v>264</v>
      </c>
      <c r="B95" s="43">
        <v>103328</v>
      </c>
      <c r="C95" s="106" t="s">
        <v>398</v>
      </c>
      <c r="D95" s="43" t="s">
        <v>72</v>
      </c>
      <c r="E95" s="50">
        <f>'Memoria de Calculo c'!D92</f>
        <v>18.579999999999998</v>
      </c>
      <c r="F95" s="107">
        <v>92.43</v>
      </c>
      <c r="G95" s="108">
        <f t="shared" si="11"/>
        <v>1717.3494000000001</v>
      </c>
      <c r="H95" s="109">
        <f t="shared" si="12"/>
        <v>119.98351191856653</v>
      </c>
      <c r="I95" s="108">
        <v>2229.23</v>
      </c>
      <c r="J95" s="7"/>
      <c r="K95" s="4"/>
      <c r="L95" s="5"/>
    </row>
    <row r="96" spans="1:12" s="6" customFormat="1" ht="54" customHeight="1" x14ac:dyDescent="0.25">
      <c r="A96" s="42" t="s">
        <v>370</v>
      </c>
      <c r="B96" s="43" t="s">
        <v>219</v>
      </c>
      <c r="C96" s="106" t="s">
        <v>395</v>
      </c>
      <c r="D96" s="43" t="s">
        <v>72</v>
      </c>
      <c r="E96" s="50">
        <f>'Memoria de Calculo c'!D93</f>
        <v>22.49</v>
      </c>
      <c r="F96" s="107">
        <v>14.64</v>
      </c>
      <c r="G96" s="108">
        <f t="shared" si="11"/>
        <v>329.25360000000001</v>
      </c>
      <c r="H96" s="109">
        <f t="shared" si="12"/>
        <v>19.004204419428909</v>
      </c>
      <c r="I96" s="108">
        <v>427.31</v>
      </c>
      <c r="J96" s="7"/>
      <c r="K96" s="4"/>
      <c r="L96" s="5"/>
    </row>
    <row r="97" spans="1:12" s="6" customFormat="1" ht="45" customHeight="1" x14ac:dyDescent="0.25">
      <c r="A97" s="42" t="s">
        <v>371</v>
      </c>
      <c r="B97" s="43" t="s">
        <v>397</v>
      </c>
      <c r="C97" s="106" t="s">
        <v>396</v>
      </c>
      <c r="D97" s="43" t="s">
        <v>72</v>
      </c>
      <c r="E97" s="50">
        <f>'Memoria de Calculo c'!D94</f>
        <v>22.49</v>
      </c>
      <c r="F97" s="107">
        <v>32.700000000000003</v>
      </c>
      <c r="G97" s="108">
        <f t="shared" si="11"/>
        <v>735.423</v>
      </c>
      <c r="H97" s="109">
        <f t="shared" si="12"/>
        <v>42.447915608970312</v>
      </c>
      <c r="I97" s="108">
        <v>954.7</v>
      </c>
      <c r="J97" s="7"/>
      <c r="K97" s="4"/>
      <c r="L97" s="5"/>
    </row>
    <row r="98" spans="1:12" s="6" customFormat="1" ht="48.6" customHeight="1" x14ac:dyDescent="0.25">
      <c r="A98" s="42" t="s">
        <v>372</v>
      </c>
      <c r="B98" s="43" t="s">
        <v>223</v>
      </c>
      <c r="C98" s="106" t="s">
        <v>399</v>
      </c>
      <c r="D98" s="43" t="s">
        <v>72</v>
      </c>
      <c r="E98" s="50">
        <f>'Memoria de Calculo c'!D95</f>
        <v>22.49</v>
      </c>
      <c r="F98" s="107">
        <v>7.41</v>
      </c>
      <c r="G98" s="108">
        <f t="shared" si="11"/>
        <v>166.65089999999998</v>
      </c>
      <c r="H98" s="109">
        <f t="shared" si="12"/>
        <v>9.6189313352437313</v>
      </c>
      <c r="I98" s="108">
        <v>216.35</v>
      </c>
      <c r="J98" s="7"/>
      <c r="K98" s="4"/>
      <c r="L98" s="5"/>
    </row>
    <row r="99" spans="1:12" s="6" customFormat="1" ht="48.6" customHeight="1" x14ac:dyDescent="0.25">
      <c r="A99" s="42" t="s">
        <v>387</v>
      </c>
      <c r="B99" s="43" t="s">
        <v>401</v>
      </c>
      <c r="C99" s="106" t="s">
        <v>400</v>
      </c>
      <c r="D99" s="43" t="s">
        <v>72</v>
      </c>
      <c r="E99" s="50">
        <f>'Memoria de Calculo c'!D96</f>
        <v>22.49</v>
      </c>
      <c r="F99" s="107">
        <v>15.53</v>
      </c>
      <c r="G99" s="108">
        <f t="shared" si="11"/>
        <v>349.26969999999994</v>
      </c>
      <c r="H99" s="109">
        <f t="shared" si="12"/>
        <v>20.159514660773972</v>
      </c>
      <c r="I99" s="108">
        <v>453.4</v>
      </c>
      <c r="J99" s="7"/>
      <c r="K99" s="4"/>
      <c r="L99" s="5"/>
    </row>
    <row r="100" spans="1:12" s="6" customFormat="1" ht="42" customHeight="1" x14ac:dyDescent="0.25">
      <c r="A100" s="42" t="s">
        <v>408</v>
      </c>
      <c r="B100" s="31" t="s">
        <v>276</v>
      </c>
      <c r="C100" s="34" t="s">
        <v>275</v>
      </c>
      <c r="D100" s="21" t="s">
        <v>70</v>
      </c>
      <c r="E100" s="50">
        <f>'Memoria de Calculo c'!D97</f>
        <v>1</v>
      </c>
      <c r="F100" s="23">
        <v>6.56</v>
      </c>
      <c r="G100" s="108">
        <f t="shared" si="11"/>
        <v>6.56</v>
      </c>
      <c r="H100" s="109">
        <f t="shared" si="12"/>
        <v>8.515545149689455</v>
      </c>
      <c r="I100" s="108">
        <f t="shared" si="13"/>
        <v>8.515545149689455</v>
      </c>
      <c r="J100" s="7"/>
      <c r="K100" s="4"/>
      <c r="L100" s="5"/>
    </row>
    <row r="101" spans="1:12" s="6" customFormat="1" ht="30" customHeight="1" x14ac:dyDescent="0.25">
      <c r="A101" s="42" t="s">
        <v>409</v>
      </c>
      <c r="B101" s="31" t="s">
        <v>227</v>
      </c>
      <c r="C101" s="34" t="s">
        <v>226</v>
      </c>
      <c r="D101" s="21" t="s">
        <v>70</v>
      </c>
      <c r="E101" s="50">
        <f>'Memoria de Calculo c'!D98</f>
        <v>1</v>
      </c>
      <c r="F101" s="23">
        <v>31.65</v>
      </c>
      <c r="G101" s="108">
        <f t="shared" si="11"/>
        <v>31.65</v>
      </c>
      <c r="H101" s="109">
        <f t="shared" si="12"/>
        <v>41.084909144462088</v>
      </c>
      <c r="I101" s="108">
        <f t="shared" si="13"/>
        <v>41.084909144462088</v>
      </c>
      <c r="J101" s="7"/>
      <c r="K101" s="4"/>
      <c r="L101" s="5"/>
    </row>
    <row r="102" spans="1:12" s="6" customFormat="1" ht="31.2" customHeight="1" x14ac:dyDescent="0.25">
      <c r="A102" s="42" t="s">
        <v>410</v>
      </c>
      <c r="B102" s="21" t="s">
        <v>341</v>
      </c>
      <c r="C102" s="34" t="s">
        <v>340</v>
      </c>
      <c r="D102" s="43" t="s">
        <v>70</v>
      </c>
      <c r="E102" s="50">
        <f>'Memoria de Calculo c'!D99</f>
        <v>1</v>
      </c>
      <c r="F102" s="107">
        <v>295.17</v>
      </c>
      <c r="G102" s="108">
        <f t="shared" si="11"/>
        <v>295.17</v>
      </c>
      <c r="H102" s="109">
        <f t="shared" si="12"/>
        <v>383.16058869418248</v>
      </c>
      <c r="I102" s="108">
        <f t="shared" si="13"/>
        <v>383.16058869418248</v>
      </c>
      <c r="J102" s="7"/>
      <c r="K102" s="4"/>
      <c r="L102" s="5"/>
    </row>
    <row r="103" spans="1:12" s="6" customFormat="1" ht="31.2" customHeight="1" x14ac:dyDescent="0.25">
      <c r="A103" s="102" t="s">
        <v>67</v>
      </c>
      <c r="B103" s="43"/>
      <c r="C103" s="44" t="s">
        <v>112</v>
      </c>
      <c r="D103" s="43"/>
      <c r="E103" s="104"/>
      <c r="F103" s="107"/>
      <c r="G103" s="108"/>
      <c r="H103" s="109"/>
      <c r="I103" s="110">
        <f>SUM(I104:I117)</f>
        <v>96552.898989309237</v>
      </c>
      <c r="J103" s="7"/>
      <c r="K103" s="4"/>
      <c r="L103" s="5"/>
    </row>
    <row r="104" spans="1:12" s="6" customFormat="1" ht="31.2" customHeight="1" x14ac:dyDescent="0.25">
      <c r="A104" s="42" t="s">
        <v>68</v>
      </c>
      <c r="B104" s="111" t="s">
        <v>337</v>
      </c>
      <c r="C104" s="152" t="s">
        <v>296</v>
      </c>
      <c r="D104" s="43" t="s">
        <v>70</v>
      </c>
      <c r="E104" s="105">
        <f>'Memoria de Calculo c'!D101</f>
        <v>2</v>
      </c>
      <c r="F104" s="107">
        <f>COMPOSIÇÃO!H4</f>
        <v>2522.8366999999998</v>
      </c>
      <c r="G104" s="24">
        <f t="shared" ref="G104:G117" si="14">F104*E104</f>
        <v>5045.6733999999997</v>
      </c>
      <c r="H104" s="109">
        <f t="shared" ref="H104:H117" si="15">F104*(1+$I$6)</f>
        <v>3274.897839046273</v>
      </c>
      <c r="I104" s="24">
        <f>H104*E104</f>
        <v>6549.795678092546</v>
      </c>
      <c r="J104" s="7"/>
      <c r="K104" s="4"/>
      <c r="L104" s="5"/>
    </row>
    <row r="105" spans="1:12" s="6" customFormat="1" ht="49.8" customHeight="1" x14ac:dyDescent="0.25">
      <c r="A105" s="42" t="s">
        <v>69</v>
      </c>
      <c r="B105" s="21" t="s">
        <v>157</v>
      </c>
      <c r="C105" s="34" t="s">
        <v>156</v>
      </c>
      <c r="D105" s="43" t="s">
        <v>70</v>
      </c>
      <c r="E105" s="105">
        <f>'Memoria de Calculo c'!D102</f>
        <v>1</v>
      </c>
      <c r="F105" s="107">
        <v>2546.37</v>
      </c>
      <c r="G105" s="24">
        <f t="shared" si="14"/>
        <v>2546.37</v>
      </c>
      <c r="H105" s="109">
        <f t="shared" si="15"/>
        <v>3305.4464485998078</v>
      </c>
      <c r="I105" s="24">
        <f t="shared" ref="I105:I117" si="16">H105*E105</f>
        <v>3305.4464485998078</v>
      </c>
      <c r="J105" s="7"/>
      <c r="K105" s="4"/>
      <c r="L105" s="5"/>
    </row>
    <row r="106" spans="1:12" s="6" customFormat="1" ht="59.4" customHeight="1" x14ac:dyDescent="0.25">
      <c r="A106" s="42" t="s">
        <v>84</v>
      </c>
      <c r="B106" s="21" t="s">
        <v>173</v>
      </c>
      <c r="C106" s="34" t="s">
        <v>158</v>
      </c>
      <c r="D106" s="43" t="s">
        <v>70</v>
      </c>
      <c r="E106" s="105">
        <f>'Memoria de Calculo c'!D103</f>
        <v>13</v>
      </c>
      <c r="F106" s="107">
        <v>246.22</v>
      </c>
      <c r="G106" s="24">
        <f t="shared" si="14"/>
        <v>3200.86</v>
      </c>
      <c r="H106" s="109">
        <f t="shared" si="15"/>
        <v>319.61852542020392</v>
      </c>
      <c r="I106" s="24">
        <v>4155.0600000000004</v>
      </c>
      <c r="J106" s="7"/>
      <c r="K106" s="4"/>
      <c r="L106" s="5"/>
    </row>
    <row r="107" spans="1:12" s="6" customFormat="1" ht="34.200000000000003" customHeight="1" x14ac:dyDescent="0.25">
      <c r="A107" s="42" t="s">
        <v>162</v>
      </c>
      <c r="B107" s="21" t="s">
        <v>359</v>
      </c>
      <c r="C107" s="153" t="s">
        <v>412</v>
      </c>
      <c r="D107" s="43" t="s">
        <v>70</v>
      </c>
      <c r="E107" s="105">
        <f>'Memoria de Calculo c'!D104</f>
        <v>8</v>
      </c>
      <c r="F107" s="107">
        <f>COMPOSIÇÃO!H15</f>
        <v>3465.9375999999997</v>
      </c>
      <c r="G107" s="24">
        <f t="shared" si="14"/>
        <v>27727.500799999998</v>
      </c>
      <c r="H107" s="109">
        <f t="shared" si="15"/>
        <v>4499.138432744865</v>
      </c>
      <c r="I107" s="24">
        <v>35993.120000000003</v>
      </c>
      <c r="J107" s="7"/>
      <c r="K107" s="4"/>
      <c r="L107" s="5"/>
    </row>
    <row r="108" spans="1:12" s="6" customFormat="1" ht="38.4" customHeight="1" x14ac:dyDescent="0.25">
      <c r="A108" s="42" t="s">
        <v>168</v>
      </c>
      <c r="B108" s="21" t="s">
        <v>415</v>
      </c>
      <c r="C108" s="153" t="s">
        <v>414</v>
      </c>
      <c r="D108" s="43" t="s">
        <v>70</v>
      </c>
      <c r="E108" s="105">
        <f>'Memoria de Calculo c'!D105</f>
        <v>3</v>
      </c>
      <c r="F108" s="107">
        <v>2684.68</v>
      </c>
      <c r="G108" s="24">
        <f t="shared" si="14"/>
        <v>8054.0399999999991</v>
      </c>
      <c r="H108" s="109">
        <f t="shared" si="15"/>
        <v>3484.9868525104098</v>
      </c>
      <c r="I108" s="24">
        <v>10454.969999999999</v>
      </c>
      <c r="J108" s="7"/>
      <c r="K108" s="4"/>
      <c r="L108" s="5"/>
    </row>
    <row r="109" spans="1:12" s="6" customFormat="1" ht="49.2" customHeight="1" x14ac:dyDescent="0.25">
      <c r="A109" s="42" t="s">
        <v>163</v>
      </c>
      <c r="B109" s="21" t="s">
        <v>341</v>
      </c>
      <c r="C109" s="34" t="s">
        <v>340</v>
      </c>
      <c r="D109" s="43" t="s">
        <v>70</v>
      </c>
      <c r="E109" s="105">
        <f>'Memoria de Calculo c'!D106</f>
        <v>11</v>
      </c>
      <c r="F109" s="107">
        <v>295.17</v>
      </c>
      <c r="G109" s="108">
        <f t="shared" si="14"/>
        <v>3246.8700000000003</v>
      </c>
      <c r="H109" s="109">
        <f t="shared" si="15"/>
        <v>383.16058869418248</v>
      </c>
      <c r="I109" s="108">
        <v>4214.76</v>
      </c>
      <c r="J109" s="7"/>
      <c r="K109" s="4"/>
      <c r="L109" s="5"/>
    </row>
    <row r="110" spans="1:12" s="6" customFormat="1" ht="49.2" customHeight="1" x14ac:dyDescent="0.25">
      <c r="A110" s="42" t="s">
        <v>169</v>
      </c>
      <c r="B110" s="111" t="s">
        <v>343</v>
      </c>
      <c r="C110" s="106" t="s">
        <v>342</v>
      </c>
      <c r="D110" s="43" t="s">
        <v>70</v>
      </c>
      <c r="E110" s="105">
        <f>'Memoria de Calculo c'!D107</f>
        <v>1</v>
      </c>
      <c r="F110" s="107">
        <v>50.2</v>
      </c>
      <c r="G110" s="108">
        <f t="shared" si="14"/>
        <v>50.2</v>
      </c>
      <c r="H110" s="109">
        <f t="shared" si="15"/>
        <v>65.164690017440662</v>
      </c>
      <c r="I110" s="108">
        <f t="shared" si="16"/>
        <v>65.164690017440662</v>
      </c>
      <c r="J110" s="7"/>
      <c r="K110" s="4"/>
      <c r="L110" s="5"/>
    </row>
    <row r="111" spans="1:12" s="6" customFormat="1" ht="49.2" customHeight="1" x14ac:dyDescent="0.25">
      <c r="A111" s="42" t="s">
        <v>388</v>
      </c>
      <c r="B111" s="111" t="s">
        <v>361</v>
      </c>
      <c r="C111" s="106" t="s">
        <v>360</v>
      </c>
      <c r="D111" s="43" t="s">
        <v>70</v>
      </c>
      <c r="E111" s="105">
        <f>'Memoria de Calculo c'!D108</f>
        <v>1</v>
      </c>
      <c r="F111" s="107">
        <v>5215.07</v>
      </c>
      <c r="G111" s="108">
        <f t="shared" si="14"/>
        <v>5215.07</v>
      </c>
      <c r="H111" s="109">
        <f t="shared" si="15"/>
        <v>6769.6896408217972</v>
      </c>
      <c r="I111" s="108">
        <f t="shared" si="16"/>
        <v>6769.6896408217972</v>
      </c>
      <c r="J111" s="7"/>
      <c r="K111" s="4"/>
      <c r="L111" s="5"/>
    </row>
    <row r="112" spans="1:12" s="6" customFormat="1" ht="27.6" x14ac:dyDescent="0.25">
      <c r="A112" s="42" t="s">
        <v>389</v>
      </c>
      <c r="B112" s="111" t="s">
        <v>363</v>
      </c>
      <c r="C112" s="106" t="s">
        <v>362</v>
      </c>
      <c r="D112" s="43" t="s">
        <v>70</v>
      </c>
      <c r="E112" s="105">
        <f>'Memoria de Calculo c'!D109</f>
        <v>2</v>
      </c>
      <c r="F112" s="107">
        <v>3895.81</v>
      </c>
      <c r="G112" s="108">
        <f t="shared" si="14"/>
        <v>7791.62</v>
      </c>
      <c r="H112" s="109">
        <f t="shared" si="15"/>
        <v>5057.1563947578779</v>
      </c>
      <c r="I112" s="108">
        <v>10114.32</v>
      </c>
      <c r="J112" s="7"/>
      <c r="K112" s="4"/>
      <c r="L112" s="5"/>
    </row>
    <row r="113" spans="1:12" s="6" customFormat="1" ht="64.2" customHeight="1" x14ac:dyDescent="0.25">
      <c r="A113" s="42" t="s">
        <v>390</v>
      </c>
      <c r="B113" s="111" t="s">
        <v>365</v>
      </c>
      <c r="C113" s="106" t="s">
        <v>364</v>
      </c>
      <c r="D113" s="43" t="s">
        <v>70</v>
      </c>
      <c r="E113" s="105">
        <f>'Memoria de Calculo c'!D110</f>
        <v>1</v>
      </c>
      <c r="F113" s="107">
        <v>2072.08</v>
      </c>
      <c r="G113" s="108">
        <f t="shared" si="14"/>
        <v>2072.08</v>
      </c>
      <c r="H113" s="109">
        <f t="shared" si="15"/>
        <v>2689.7699380744707</v>
      </c>
      <c r="I113" s="108">
        <f t="shared" si="16"/>
        <v>2689.7699380744707</v>
      </c>
      <c r="J113" s="7"/>
      <c r="K113" s="4"/>
      <c r="L113" s="5"/>
    </row>
    <row r="114" spans="1:12" s="6" customFormat="1" ht="80.400000000000006" customHeight="1" x14ac:dyDescent="0.25">
      <c r="A114" s="42" t="s">
        <v>391</v>
      </c>
      <c r="B114" s="111" t="s">
        <v>367</v>
      </c>
      <c r="C114" s="106" t="s">
        <v>366</v>
      </c>
      <c r="D114" s="43" t="s">
        <v>70</v>
      </c>
      <c r="E114" s="105">
        <f>'Memoria de Calculo c'!D111</f>
        <v>2</v>
      </c>
      <c r="F114" s="107">
        <v>1406.56</v>
      </c>
      <c r="G114" s="108">
        <f t="shared" si="14"/>
        <v>2813.12</v>
      </c>
      <c r="H114" s="109">
        <f t="shared" si="15"/>
        <v>1825.8574978273173</v>
      </c>
      <c r="I114" s="108">
        <v>3651.72</v>
      </c>
      <c r="J114" s="7"/>
      <c r="K114" s="4"/>
      <c r="L114" s="5"/>
    </row>
    <row r="115" spans="1:12" s="6" customFormat="1" ht="34.200000000000003" customHeight="1" x14ac:dyDescent="0.25">
      <c r="A115" s="42" t="s">
        <v>392</v>
      </c>
      <c r="B115" s="111" t="s">
        <v>369</v>
      </c>
      <c r="C115" s="106" t="s">
        <v>368</v>
      </c>
      <c r="D115" s="43" t="s">
        <v>70</v>
      </c>
      <c r="E115" s="105">
        <f>'Memoria de Calculo c'!D112</f>
        <v>1</v>
      </c>
      <c r="F115" s="107">
        <v>4005.81</v>
      </c>
      <c r="G115" s="108">
        <f t="shared" si="14"/>
        <v>4005.81</v>
      </c>
      <c r="H115" s="109">
        <f t="shared" si="15"/>
        <v>5199.9475481825484</v>
      </c>
      <c r="I115" s="108">
        <f t="shared" si="16"/>
        <v>5199.9475481825484</v>
      </c>
      <c r="J115" s="7"/>
      <c r="K115" s="4"/>
      <c r="L115" s="5"/>
    </row>
    <row r="116" spans="1:12" s="6" customFormat="1" ht="79.2" customHeight="1" x14ac:dyDescent="0.25">
      <c r="A116" s="42" t="s">
        <v>393</v>
      </c>
      <c r="B116" s="31" t="s">
        <v>174</v>
      </c>
      <c r="C116" s="34" t="s">
        <v>154</v>
      </c>
      <c r="D116" s="21" t="s">
        <v>70</v>
      </c>
      <c r="E116" s="105">
        <f>'Memoria de Calculo c'!D113</f>
        <v>2</v>
      </c>
      <c r="F116" s="23">
        <v>444.45</v>
      </c>
      <c r="G116" s="108">
        <f t="shared" si="14"/>
        <v>888.9</v>
      </c>
      <c r="H116" s="109">
        <f t="shared" si="15"/>
        <v>576.9411649054083</v>
      </c>
      <c r="I116" s="108">
        <f t="shared" si="16"/>
        <v>1153.8823298108166</v>
      </c>
      <c r="J116" s="7"/>
      <c r="K116" s="4"/>
      <c r="L116" s="5"/>
    </row>
    <row r="117" spans="1:12" s="6" customFormat="1" ht="50.4" customHeight="1" thickBot="1" x14ac:dyDescent="0.3">
      <c r="A117" s="42" t="s">
        <v>416</v>
      </c>
      <c r="B117" s="111" t="s">
        <v>386</v>
      </c>
      <c r="C117" s="106" t="s">
        <v>385</v>
      </c>
      <c r="D117" s="43" t="s">
        <v>70</v>
      </c>
      <c r="E117" s="105">
        <f>'Memoria de Calculo c'!D114</f>
        <v>1</v>
      </c>
      <c r="F117" s="107">
        <v>1721.94</v>
      </c>
      <c r="G117" s="108">
        <f t="shared" si="14"/>
        <v>1721.94</v>
      </c>
      <c r="H117" s="109">
        <f t="shared" si="15"/>
        <v>2235.2527157097961</v>
      </c>
      <c r="I117" s="108">
        <f t="shared" si="16"/>
        <v>2235.2527157097961</v>
      </c>
      <c r="J117" s="7"/>
      <c r="K117" s="4"/>
      <c r="L117" s="5"/>
    </row>
    <row r="118" spans="1:12" s="6" customFormat="1" ht="15" thickBot="1" x14ac:dyDescent="0.3">
      <c r="A118" s="57" t="s">
        <v>263</v>
      </c>
      <c r="B118" s="58" t="s">
        <v>3</v>
      </c>
      <c r="C118" s="58" t="s">
        <v>3</v>
      </c>
      <c r="D118" s="58" t="s">
        <v>3</v>
      </c>
      <c r="E118" s="59" t="s">
        <v>3</v>
      </c>
      <c r="F118" s="60"/>
      <c r="G118" s="61"/>
      <c r="H118" s="60" t="s">
        <v>34</v>
      </c>
      <c r="I118" s="95">
        <f>SUM(I103,I86,I80,I72,I69)</f>
        <v>259866.50242995765</v>
      </c>
      <c r="J118" s="7"/>
      <c r="K118" s="4"/>
      <c r="L118" s="5"/>
    </row>
    <row r="119" spans="1:12" s="6" customFormat="1" ht="28.8" customHeight="1" thickBot="1" x14ac:dyDescent="0.3">
      <c r="A119" s="209" t="s">
        <v>321</v>
      </c>
      <c r="B119" s="212"/>
      <c r="C119" s="212"/>
      <c r="D119" s="212"/>
      <c r="E119" s="212"/>
      <c r="F119" s="212"/>
      <c r="G119" s="212"/>
      <c r="H119" s="212"/>
      <c r="I119" s="213"/>
      <c r="J119" s="7"/>
      <c r="K119" s="4"/>
      <c r="L119" s="5"/>
    </row>
    <row r="120" spans="1:12" s="6" customFormat="1" ht="31.8" customHeight="1" x14ac:dyDescent="0.25">
      <c r="A120" s="102" t="s">
        <v>46</v>
      </c>
      <c r="B120" s="43"/>
      <c r="C120" s="44" t="s">
        <v>44</v>
      </c>
      <c r="D120" s="43"/>
      <c r="E120" s="104"/>
      <c r="F120" s="107"/>
      <c r="G120" s="108"/>
      <c r="H120" s="109"/>
      <c r="I120" s="110">
        <f>SUM(I121:I122)</f>
        <v>6471.607100287586</v>
      </c>
      <c r="J120" s="7"/>
      <c r="K120" s="4"/>
      <c r="L120" s="5"/>
    </row>
    <row r="121" spans="1:12" s="6" customFormat="1" ht="72" customHeight="1" x14ac:dyDescent="0.25">
      <c r="A121" s="20" t="s">
        <v>47</v>
      </c>
      <c r="B121" s="31" t="s">
        <v>172</v>
      </c>
      <c r="C121" s="34" t="s">
        <v>97</v>
      </c>
      <c r="D121" s="21" t="s">
        <v>70</v>
      </c>
      <c r="E121" s="50">
        <f>'Memoria de Calculo c'!D117</f>
        <v>1</v>
      </c>
      <c r="F121" s="23">
        <v>1366.74</v>
      </c>
      <c r="G121" s="24">
        <f t="shared" ref="G121:G122" si="17">F121*E121</f>
        <v>1366.74</v>
      </c>
      <c r="H121" s="25">
        <f t="shared" ref="H121:H122" si="18">F121*(1+$I$6)</f>
        <v>1774.1671002875864</v>
      </c>
      <c r="I121" s="24">
        <f>H121*E121</f>
        <v>1774.1671002875864</v>
      </c>
      <c r="J121" s="7"/>
      <c r="K121" s="4"/>
      <c r="L121" s="5"/>
    </row>
    <row r="122" spans="1:12" s="6" customFormat="1" ht="67.2" customHeight="1" x14ac:dyDescent="0.25">
      <c r="A122" s="20" t="s">
        <v>96</v>
      </c>
      <c r="B122" s="31" t="s">
        <v>188</v>
      </c>
      <c r="C122" s="34" t="s">
        <v>187</v>
      </c>
      <c r="D122" s="21" t="s">
        <v>73</v>
      </c>
      <c r="E122" s="50">
        <f>'Memoria de Calculo c'!D118</f>
        <v>88</v>
      </c>
      <c r="F122" s="23">
        <v>41.12</v>
      </c>
      <c r="G122" s="24">
        <f t="shared" si="17"/>
        <v>3618.56</v>
      </c>
      <c r="H122" s="25">
        <f t="shared" si="18"/>
        <v>53.377929352931467</v>
      </c>
      <c r="I122" s="24">
        <v>4697.4399999999996</v>
      </c>
      <c r="J122" s="7"/>
      <c r="K122" s="4"/>
      <c r="L122" s="5"/>
    </row>
    <row r="123" spans="1:12" s="6" customFormat="1" ht="31.8" customHeight="1" x14ac:dyDescent="0.25">
      <c r="A123" s="102" t="s">
        <v>51</v>
      </c>
      <c r="B123" s="43"/>
      <c r="C123" s="44" t="s">
        <v>326</v>
      </c>
      <c r="D123" s="43"/>
      <c r="E123" s="104"/>
      <c r="F123" s="107"/>
      <c r="G123" s="108"/>
      <c r="H123" s="109"/>
      <c r="I123" s="110">
        <f>SUM(I124:I130)</f>
        <v>34571.350000000006</v>
      </c>
      <c r="J123" s="7"/>
      <c r="K123" s="4"/>
      <c r="L123" s="5"/>
    </row>
    <row r="124" spans="1:12" s="6" customFormat="1" ht="42" customHeight="1" x14ac:dyDescent="0.25">
      <c r="A124" s="42" t="s">
        <v>52</v>
      </c>
      <c r="B124" s="111" t="s">
        <v>255</v>
      </c>
      <c r="C124" s="106" t="s">
        <v>318</v>
      </c>
      <c r="D124" s="43" t="s">
        <v>71</v>
      </c>
      <c r="E124" s="105">
        <f>'Memoria de Calculo c'!D120</f>
        <v>1.83</v>
      </c>
      <c r="F124" s="107">
        <v>102.24</v>
      </c>
      <c r="G124" s="24">
        <f t="shared" ref="G124:G130" si="19">F124*E124</f>
        <v>187.0992</v>
      </c>
      <c r="H124" s="25">
        <f t="shared" ref="H124:H130" si="20">F124*(1+$I$6)</f>
        <v>132.71788660125762</v>
      </c>
      <c r="I124" s="24">
        <v>242.88</v>
      </c>
      <c r="J124" s="7"/>
      <c r="K124" s="4"/>
      <c r="L124" s="5"/>
    </row>
    <row r="125" spans="1:12" s="6" customFormat="1" ht="34.799999999999997" customHeight="1" x14ac:dyDescent="0.25">
      <c r="A125" s="42" t="s">
        <v>53</v>
      </c>
      <c r="B125" s="111" t="s">
        <v>320</v>
      </c>
      <c r="C125" s="106" t="s">
        <v>319</v>
      </c>
      <c r="D125" s="43" t="s">
        <v>72</v>
      </c>
      <c r="E125" s="105">
        <f>'Memoria de Calculo c'!D121</f>
        <v>20.333333333333332</v>
      </c>
      <c r="F125" s="107">
        <v>75.790000000000006</v>
      </c>
      <c r="G125" s="24">
        <f t="shared" si="19"/>
        <v>1541.0633333333333</v>
      </c>
      <c r="H125" s="25">
        <f t="shared" si="20"/>
        <v>98.383104709598157</v>
      </c>
      <c r="I125" s="24">
        <v>2000.07</v>
      </c>
      <c r="J125" s="7"/>
      <c r="K125" s="4"/>
      <c r="L125" s="5"/>
    </row>
    <row r="126" spans="1:12" s="6" customFormat="1" ht="35.4" customHeight="1" x14ac:dyDescent="0.25">
      <c r="A126" s="42" t="s">
        <v>258</v>
      </c>
      <c r="B126" s="111" t="s">
        <v>322</v>
      </c>
      <c r="C126" s="106" t="s">
        <v>323</v>
      </c>
      <c r="D126" s="43" t="s">
        <v>254</v>
      </c>
      <c r="E126" s="105">
        <f>'Memoria de Calculo c'!D122</f>
        <v>192.76000000000002</v>
      </c>
      <c r="F126" s="107">
        <v>10.220000000000001</v>
      </c>
      <c r="G126" s="108">
        <f t="shared" si="19"/>
        <v>1970.0072000000002</v>
      </c>
      <c r="H126" s="109">
        <f t="shared" si="20"/>
        <v>13.266596254546684</v>
      </c>
      <c r="I126" s="108">
        <v>2557.9299999999998</v>
      </c>
      <c r="J126" s="7"/>
      <c r="K126" s="4"/>
      <c r="L126" s="5"/>
    </row>
    <row r="127" spans="1:12" s="6" customFormat="1" ht="49.2" customHeight="1" x14ac:dyDescent="0.25">
      <c r="A127" s="42" t="s">
        <v>259</v>
      </c>
      <c r="B127" s="111" t="s">
        <v>324</v>
      </c>
      <c r="C127" s="106" t="s">
        <v>325</v>
      </c>
      <c r="D127" s="43" t="s">
        <v>71</v>
      </c>
      <c r="E127" s="105">
        <f>'Memoria de Calculo c'!D123</f>
        <v>4.5750000000000002</v>
      </c>
      <c r="F127" s="107">
        <v>740.42</v>
      </c>
      <c r="G127" s="108">
        <f t="shared" si="19"/>
        <v>3387.4214999999999</v>
      </c>
      <c r="H127" s="109">
        <f t="shared" si="20"/>
        <v>961.14023471540656</v>
      </c>
      <c r="I127" s="108">
        <v>4402.0200000000004</v>
      </c>
      <c r="J127" s="7"/>
      <c r="K127" s="4"/>
      <c r="L127" s="5"/>
    </row>
    <row r="128" spans="1:12" s="6" customFormat="1" ht="78.599999999999994" customHeight="1" x14ac:dyDescent="0.25">
      <c r="A128" s="42" t="s">
        <v>260</v>
      </c>
      <c r="B128" s="111" t="s">
        <v>330</v>
      </c>
      <c r="C128" s="106" t="s">
        <v>329</v>
      </c>
      <c r="D128" s="43" t="s">
        <v>72</v>
      </c>
      <c r="E128" s="105">
        <f>'Memoria de Calculo c'!D124</f>
        <v>93.6</v>
      </c>
      <c r="F128" s="107">
        <v>149.19</v>
      </c>
      <c r="G128" s="108">
        <f t="shared" si="19"/>
        <v>13964.183999999999</v>
      </c>
      <c r="H128" s="109">
        <f t="shared" si="20"/>
        <v>193.66374708569663</v>
      </c>
      <c r="I128" s="108">
        <v>18126.580000000002</v>
      </c>
      <c r="J128" s="7"/>
      <c r="K128" s="4"/>
      <c r="L128" s="5"/>
    </row>
    <row r="129" spans="1:12" s="6" customFormat="1" ht="76.2" customHeight="1" x14ac:dyDescent="0.25">
      <c r="A129" s="42" t="s">
        <v>261</v>
      </c>
      <c r="B129" s="111" t="s">
        <v>331</v>
      </c>
      <c r="C129" s="106" t="s">
        <v>332</v>
      </c>
      <c r="D129" s="43" t="s">
        <v>72</v>
      </c>
      <c r="E129" s="105">
        <f>'Memoria de Calculo c'!D125</f>
        <v>2.7</v>
      </c>
      <c r="F129" s="107">
        <v>577.03</v>
      </c>
      <c r="G129" s="108">
        <f t="shared" si="19"/>
        <v>1557.981</v>
      </c>
      <c r="H129" s="109">
        <f t="shared" si="20"/>
        <v>749.0434478239797</v>
      </c>
      <c r="I129" s="108">
        <v>2022.41</v>
      </c>
      <c r="J129" s="7"/>
      <c r="K129" s="4"/>
      <c r="L129" s="5"/>
    </row>
    <row r="130" spans="1:12" s="6" customFormat="1" ht="76.2" customHeight="1" x14ac:dyDescent="0.25">
      <c r="A130" s="42" t="s">
        <v>262</v>
      </c>
      <c r="B130" s="111" t="s">
        <v>334</v>
      </c>
      <c r="C130" s="106" t="s">
        <v>333</v>
      </c>
      <c r="D130" s="43" t="s">
        <v>72</v>
      </c>
      <c r="E130" s="105">
        <f>'Memoria de Calculo c'!D126</f>
        <v>192.6</v>
      </c>
      <c r="F130" s="107">
        <v>20.88</v>
      </c>
      <c r="G130" s="108">
        <f t="shared" si="19"/>
        <v>4021.4879999999998</v>
      </c>
      <c r="H130" s="109">
        <f t="shared" si="20"/>
        <v>27.104357122792049</v>
      </c>
      <c r="I130" s="108">
        <v>5219.46</v>
      </c>
      <c r="J130" s="7"/>
      <c r="K130" s="4"/>
      <c r="L130" s="5"/>
    </row>
    <row r="131" spans="1:12" s="6" customFormat="1" ht="31.8" customHeight="1" x14ac:dyDescent="0.25">
      <c r="A131" s="102" t="s">
        <v>57</v>
      </c>
      <c r="B131" s="43"/>
      <c r="C131" s="44" t="s">
        <v>113</v>
      </c>
      <c r="D131" s="43"/>
      <c r="E131" s="104"/>
      <c r="F131" s="107"/>
      <c r="G131" s="108"/>
      <c r="H131" s="109"/>
      <c r="I131" s="110">
        <f>SUM(I132:I136)</f>
        <v>93552.6</v>
      </c>
      <c r="J131" s="7"/>
      <c r="K131" s="4"/>
      <c r="L131" s="5"/>
    </row>
    <row r="132" spans="1:12" s="6" customFormat="1" ht="57.6" customHeight="1" x14ac:dyDescent="0.25">
      <c r="A132" s="42" t="s">
        <v>58</v>
      </c>
      <c r="B132" s="111" t="s">
        <v>280</v>
      </c>
      <c r="C132" s="106" t="s">
        <v>279</v>
      </c>
      <c r="D132" s="43" t="s">
        <v>72</v>
      </c>
      <c r="E132" s="105">
        <f>'Memoria de Calculo c'!D128</f>
        <v>240</v>
      </c>
      <c r="F132" s="107">
        <v>60.11</v>
      </c>
      <c r="G132" s="24">
        <f t="shared" ref="G132:G136" si="21">F132*E132</f>
        <v>14426.4</v>
      </c>
      <c r="H132" s="25">
        <f t="shared" ref="H132:H136" si="22">F132*(1+$I$6)</f>
        <v>78.028874839608719</v>
      </c>
      <c r="I132" s="24">
        <v>18727.2</v>
      </c>
      <c r="J132" s="7"/>
      <c r="K132" s="4"/>
      <c r="L132" s="5"/>
    </row>
    <row r="133" spans="1:12" s="6" customFormat="1" ht="71.400000000000006" customHeight="1" x14ac:dyDescent="0.25">
      <c r="A133" s="42" t="s">
        <v>59</v>
      </c>
      <c r="B133" s="111" t="s">
        <v>278</v>
      </c>
      <c r="C133" s="106" t="s">
        <v>277</v>
      </c>
      <c r="D133" s="43" t="s">
        <v>72</v>
      </c>
      <c r="E133" s="105">
        <f>'Memoria de Calculo c'!D129</f>
        <v>240</v>
      </c>
      <c r="F133" s="107">
        <v>154.19999999999999</v>
      </c>
      <c r="G133" s="24">
        <f t="shared" si="21"/>
        <v>37008</v>
      </c>
      <c r="H133" s="25">
        <f t="shared" si="22"/>
        <v>200.167235073493</v>
      </c>
      <c r="I133" s="24">
        <v>48040.800000000003</v>
      </c>
      <c r="J133" s="7"/>
      <c r="K133" s="4"/>
      <c r="L133" s="5"/>
    </row>
    <row r="134" spans="1:12" s="6" customFormat="1" ht="40.200000000000003" customHeight="1" x14ac:dyDescent="0.25">
      <c r="A134" s="42" t="s">
        <v>159</v>
      </c>
      <c r="B134" s="111" t="s">
        <v>282</v>
      </c>
      <c r="C134" s="106" t="s">
        <v>281</v>
      </c>
      <c r="D134" s="43" t="s">
        <v>71</v>
      </c>
      <c r="E134" s="105">
        <f>'Memoria de Calculo c'!D130</f>
        <v>36</v>
      </c>
      <c r="F134" s="107">
        <v>165</v>
      </c>
      <c r="G134" s="24">
        <f t="shared" si="21"/>
        <v>5940</v>
      </c>
      <c r="H134" s="25">
        <f t="shared" si="22"/>
        <v>214.18673013700615</v>
      </c>
      <c r="I134" s="24">
        <v>7710.84</v>
      </c>
      <c r="J134" s="7"/>
      <c r="K134" s="4"/>
      <c r="L134" s="5"/>
    </row>
    <row r="135" spans="1:12" s="6" customFormat="1" ht="49.2" customHeight="1" x14ac:dyDescent="0.25">
      <c r="A135" s="42" t="s">
        <v>160</v>
      </c>
      <c r="B135" s="111" t="s">
        <v>284</v>
      </c>
      <c r="C135" s="106" t="s">
        <v>283</v>
      </c>
      <c r="D135" s="43" t="s">
        <v>77</v>
      </c>
      <c r="E135" s="105">
        <f>'Memoria de Calculo c'!D131</f>
        <v>864</v>
      </c>
      <c r="F135" s="107">
        <v>1.65</v>
      </c>
      <c r="G135" s="24">
        <f t="shared" si="21"/>
        <v>1425.6</v>
      </c>
      <c r="H135" s="25">
        <f t="shared" si="22"/>
        <v>2.1418673013700613</v>
      </c>
      <c r="I135" s="24">
        <v>1848.96</v>
      </c>
      <c r="J135" s="7"/>
      <c r="K135" s="4"/>
      <c r="L135" s="5"/>
    </row>
    <row r="136" spans="1:12" s="6" customFormat="1" ht="49.2" customHeight="1" x14ac:dyDescent="0.25">
      <c r="A136" s="42" t="s">
        <v>161</v>
      </c>
      <c r="B136" s="111" t="s">
        <v>336</v>
      </c>
      <c r="C136" s="106" t="s">
        <v>335</v>
      </c>
      <c r="D136" s="43" t="s">
        <v>72</v>
      </c>
      <c r="E136" s="105">
        <f>'Memoria de Calculo c'!D132</f>
        <v>240</v>
      </c>
      <c r="F136" s="107">
        <v>55.29</v>
      </c>
      <c r="G136" s="24">
        <f t="shared" si="21"/>
        <v>13269.6</v>
      </c>
      <c r="H136" s="109">
        <f t="shared" si="22"/>
        <v>71.772026116818608</v>
      </c>
      <c r="I136" s="24">
        <v>17224.8</v>
      </c>
      <c r="J136" s="7"/>
      <c r="K136" s="4"/>
      <c r="L136" s="5"/>
    </row>
    <row r="137" spans="1:12" s="6" customFormat="1" ht="49.2" customHeight="1" x14ac:dyDescent="0.25">
      <c r="A137" s="102" t="s">
        <v>62</v>
      </c>
      <c r="B137" s="43"/>
      <c r="C137" s="44" t="s">
        <v>189</v>
      </c>
      <c r="D137" s="43"/>
      <c r="E137" s="104"/>
      <c r="F137" s="107"/>
      <c r="G137" s="108"/>
      <c r="H137" s="109"/>
      <c r="I137" s="110">
        <f>SUM(I138:I153)</f>
        <v>28718.043440648431</v>
      </c>
      <c r="J137" s="7"/>
      <c r="K137" s="4"/>
      <c r="L137" s="5"/>
    </row>
    <row r="138" spans="1:12" s="6" customFormat="1" ht="49.2" customHeight="1" x14ac:dyDescent="0.25">
      <c r="A138" s="42" t="s">
        <v>63</v>
      </c>
      <c r="B138" s="21" t="s">
        <v>211</v>
      </c>
      <c r="C138" s="34" t="s">
        <v>232</v>
      </c>
      <c r="D138" s="21" t="s">
        <v>72</v>
      </c>
      <c r="E138" s="50">
        <f>'Memoria de Calculo c'!D134</f>
        <v>44.91</v>
      </c>
      <c r="F138" s="23">
        <v>113.84</v>
      </c>
      <c r="G138" s="24">
        <f t="shared" ref="G138:G153" si="23">F138*E138</f>
        <v>5112.5544</v>
      </c>
      <c r="H138" s="109">
        <f t="shared" ref="H138:H153" si="24">F138*(1+$I$6)</f>
        <v>147.77586278058655</v>
      </c>
      <c r="I138" s="24">
        <v>6636.8</v>
      </c>
      <c r="J138" s="7"/>
      <c r="K138" s="4"/>
      <c r="L138" s="5"/>
    </row>
    <row r="139" spans="1:12" s="6" customFormat="1" ht="49.2" customHeight="1" x14ac:dyDescent="0.25">
      <c r="A139" s="42" t="s">
        <v>75</v>
      </c>
      <c r="B139" s="21">
        <v>94446</v>
      </c>
      <c r="C139" s="34" t="s">
        <v>164</v>
      </c>
      <c r="D139" s="21" t="s">
        <v>72</v>
      </c>
      <c r="E139" s="50">
        <f>'Memoria de Calculo c'!D135</f>
        <v>44.91</v>
      </c>
      <c r="F139" s="23">
        <v>102.76</v>
      </c>
      <c r="G139" s="24">
        <f t="shared" si="23"/>
        <v>4614.9516000000003</v>
      </c>
      <c r="H139" s="109">
        <f t="shared" si="24"/>
        <v>133.3928993265379</v>
      </c>
      <c r="I139" s="24">
        <v>5990.54</v>
      </c>
      <c r="J139" s="7"/>
      <c r="K139" s="4"/>
      <c r="L139" s="5"/>
    </row>
    <row r="140" spans="1:12" s="6" customFormat="1" ht="49.2" customHeight="1" x14ac:dyDescent="0.25">
      <c r="A140" s="42" t="s">
        <v>170</v>
      </c>
      <c r="B140" s="21">
        <v>94219</v>
      </c>
      <c r="C140" s="34" t="s">
        <v>186</v>
      </c>
      <c r="D140" s="21" t="s">
        <v>73</v>
      </c>
      <c r="E140" s="50">
        <f>'Memoria de Calculo c'!D136</f>
        <v>24.96</v>
      </c>
      <c r="F140" s="23">
        <v>47.04</v>
      </c>
      <c r="G140" s="24">
        <f t="shared" si="23"/>
        <v>1174.1184000000001</v>
      </c>
      <c r="H140" s="109">
        <f t="shared" si="24"/>
        <v>61.062689609968295</v>
      </c>
      <c r="I140" s="24">
        <v>1524.06</v>
      </c>
      <c r="J140" s="7"/>
      <c r="K140" s="4"/>
      <c r="L140" s="5"/>
    </row>
    <row r="141" spans="1:12" s="6" customFormat="1" ht="49.2" customHeight="1" x14ac:dyDescent="0.25">
      <c r="A141" s="42" t="s">
        <v>171</v>
      </c>
      <c r="B141" s="21">
        <v>2794</v>
      </c>
      <c r="C141" s="34" t="s">
        <v>394</v>
      </c>
      <c r="D141" s="21" t="s">
        <v>73</v>
      </c>
      <c r="E141" s="50">
        <f>'Memoria de Calculo c'!D137</f>
        <v>21</v>
      </c>
      <c r="F141" s="23">
        <v>131.52000000000001</v>
      </c>
      <c r="G141" s="24">
        <f t="shared" si="23"/>
        <v>2761.92</v>
      </c>
      <c r="H141" s="109">
        <f t="shared" si="24"/>
        <v>170.72629544011545</v>
      </c>
      <c r="I141" s="24">
        <v>3585.33</v>
      </c>
      <c r="J141" s="7"/>
      <c r="K141" s="4"/>
      <c r="L141" s="5"/>
    </row>
    <row r="142" spans="1:12" s="6" customFormat="1" ht="49.2" customHeight="1" x14ac:dyDescent="0.25">
      <c r="A142" s="42" t="s">
        <v>184</v>
      </c>
      <c r="B142" s="21">
        <v>92560</v>
      </c>
      <c r="C142" s="34" t="s">
        <v>212</v>
      </c>
      <c r="D142" s="21" t="s">
        <v>70</v>
      </c>
      <c r="E142" s="50">
        <f>'Memoria de Calculo c'!D138</f>
        <v>1</v>
      </c>
      <c r="F142" s="23">
        <v>2659.86</v>
      </c>
      <c r="G142" s="24">
        <f t="shared" si="23"/>
        <v>2659.86</v>
      </c>
      <c r="H142" s="109">
        <f t="shared" si="24"/>
        <v>3452.7679758922254</v>
      </c>
      <c r="I142" s="24">
        <f t="shared" ref="I142:I153" si="25">H142*E142</f>
        <v>3452.7679758922254</v>
      </c>
      <c r="J142" s="7"/>
      <c r="K142" s="4"/>
      <c r="L142" s="5"/>
    </row>
    <row r="143" spans="1:12" s="6" customFormat="1" ht="31.8" customHeight="1" x14ac:dyDescent="0.25">
      <c r="A143" s="42" t="s">
        <v>185</v>
      </c>
      <c r="B143" s="21" t="s">
        <v>180</v>
      </c>
      <c r="C143" s="34" t="s">
        <v>179</v>
      </c>
      <c r="D143" s="21" t="s">
        <v>71</v>
      </c>
      <c r="E143" s="50">
        <f>'Memoria de Calculo c'!D139</f>
        <v>0.75</v>
      </c>
      <c r="F143" s="23">
        <v>41.84</v>
      </c>
      <c r="G143" s="24">
        <f t="shared" si="23"/>
        <v>31.380000000000003</v>
      </c>
      <c r="H143" s="109">
        <f t="shared" si="24"/>
        <v>54.312562357165682</v>
      </c>
      <c r="I143" s="24">
        <f t="shared" si="25"/>
        <v>40.73442176787426</v>
      </c>
      <c r="J143" s="7"/>
      <c r="K143" s="4"/>
      <c r="L143" s="5"/>
    </row>
    <row r="144" spans="1:12" s="6" customFormat="1" ht="49.2" customHeight="1" x14ac:dyDescent="0.25">
      <c r="A144" s="42" t="s">
        <v>208</v>
      </c>
      <c r="B144" s="21" t="s">
        <v>183</v>
      </c>
      <c r="C144" s="34" t="s">
        <v>182</v>
      </c>
      <c r="D144" s="21" t="s">
        <v>71</v>
      </c>
      <c r="E144" s="50">
        <f>'Memoria de Calculo c'!D140</f>
        <v>0.75</v>
      </c>
      <c r="F144" s="23">
        <v>760.51</v>
      </c>
      <c r="G144" s="24">
        <f t="shared" si="23"/>
        <v>570.38249999999994</v>
      </c>
      <c r="H144" s="109">
        <f t="shared" si="24"/>
        <v>987.21909173633048</v>
      </c>
      <c r="I144" s="24">
        <v>740.42</v>
      </c>
      <c r="J144" s="7"/>
      <c r="K144" s="4"/>
      <c r="L144" s="5"/>
    </row>
    <row r="145" spans="1:12" s="6" customFormat="1" ht="40.799999999999997" customHeight="1" x14ac:dyDescent="0.25">
      <c r="A145" s="42" t="s">
        <v>213</v>
      </c>
      <c r="B145" s="21" t="s">
        <v>207</v>
      </c>
      <c r="C145" s="34" t="s">
        <v>206</v>
      </c>
      <c r="D145" s="21" t="s">
        <v>71</v>
      </c>
      <c r="E145" s="50">
        <f>'Memoria de Calculo c'!D141</f>
        <v>0.61699999999999999</v>
      </c>
      <c r="F145" s="23">
        <v>2526.8200000000002</v>
      </c>
      <c r="G145" s="24">
        <f t="shared" si="23"/>
        <v>1559.0479400000002</v>
      </c>
      <c r="H145" s="109">
        <f t="shared" si="24"/>
        <v>3280.0685663320601</v>
      </c>
      <c r="I145" s="24">
        <v>2033.64</v>
      </c>
      <c r="J145" s="7"/>
      <c r="K145" s="4"/>
      <c r="L145" s="5"/>
    </row>
    <row r="146" spans="1:12" s="6" customFormat="1" ht="49.2" customHeight="1" x14ac:dyDescent="0.25">
      <c r="A146" s="42" t="s">
        <v>264</v>
      </c>
      <c r="B146" s="43">
        <v>103328</v>
      </c>
      <c r="C146" s="106" t="s">
        <v>398</v>
      </c>
      <c r="D146" s="43" t="s">
        <v>72</v>
      </c>
      <c r="E146" s="50">
        <f>'Memoria de Calculo c'!D142</f>
        <v>18.579999999999998</v>
      </c>
      <c r="F146" s="107">
        <v>92.43</v>
      </c>
      <c r="G146" s="108">
        <f t="shared" si="23"/>
        <v>1717.3494000000001</v>
      </c>
      <c r="H146" s="109">
        <f t="shared" si="24"/>
        <v>119.98351191856653</v>
      </c>
      <c r="I146" s="108">
        <v>2229.23</v>
      </c>
      <c r="J146" s="7"/>
      <c r="K146" s="4"/>
      <c r="L146" s="5"/>
    </row>
    <row r="147" spans="1:12" s="6" customFormat="1" ht="49.2" customHeight="1" x14ac:dyDescent="0.25">
      <c r="A147" s="42" t="s">
        <v>370</v>
      </c>
      <c r="B147" s="43" t="s">
        <v>219</v>
      </c>
      <c r="C147" s="106" t="s">
        <v>395</v>
      </c>
      <c r="D147" s="43" t="s">
        <v>72</v>
      </c>
      <c r="E147" s="50">
        <f>'Memoria de Calculo c'!D143</f>
        <v>22.49</v>
      </c>
      <c r="F147" s="107">
        <v>14.64</v>
      </c>
      <c r="G147" s="108">
        <f t="shared" si="23"/>
        <v>329.25360000000001</v>
      </c>
      <c r="H147" s="109">
        <f t="shared" si="24"/>
        <v>19.004204419428909</v>
      </c>
      <c r="I147" s="108">
        <v>427.31</v>
      </c>
      <c r="J147" s="7"/>
      <c r="K147" s="4"/>
      <c r="L147" s="5"/>
    </row>
    <row r="148" spans="1:12" s="6" customFormat="1" ht="49.2" customHeight="1" x14ac:dyDescent="0.25">
      <c r="A148" s="42" t="s">
        <v>371</v>
      </c>
      <c r="B148" s="43" t="s">
        <v>397</v>
      </c>
      <c r="C148" s="106" t="s">
        <v>396</v>
      </c>
      <c r="D148" s="43" t="s">
        <v>72</v>
      </c>
      <c r="E148" s="50">
        <f>'Memoria de Calculo c'!D144</f>
        <v>22.49</v>
      </c>
      <c r="F148" s="107">
        <v>32.700000000000003</v>
      </c>
      <c r="G148" s="108">
        <f t="shared" si="23"/>
        <v>735.423</v>
      </c>
      <c r="H148" s="109">
        <f t="shared" si="24"/>
        <v>42.447915608970312</v>
      </c>
      <c r="I148" s="108">
        <v>954.7</v>
      </c>
      <c r="J148" s="7"/>
      <c r="K148" s="4"/>
      <c r="L148" s="5"/>
    </row>
    <row r="149" spans="1:12" s="6" customFormat="1" ht="49.2" customHeight="1" x14ac:dyDescent="0.25">
      <c r="A149" s="42" t="s">
        <v>372</v>
      </c>
      <c r="B149" s="43" t="s">
        <v>223</v>
      </c>
      <c r="C149" s="106" t="s">
        <v>399</v>
      </c>
      <c r="D149" s="43" t="s">
        <v>72</v>
      </c>
      <c r="E149" s="50">
        <f>'Memoria de Calculo c'!D145</f>
        <v>22.49</v>
      </c>
      <c r="F149" s="107">
        <v>7.41</v>
      </c>
      <c r="G149" s="108">
        <f t="shared" si="23"/>
        <v>166.65089999999998</v>
      </c>
      <c r="H149" s="109">
        <f t="shared" si="24"/>
        <v>9.6189313352437313</v>
      </c>
      <c r="I149" s="108">
        <v>216.35</v>
      </c>
      <c r="J149" s="7"/>
      <c r="K149" s="4"/>
      <c r="L149" s="5"/>
    </row>
    <row r="150" spans="1:12" s="6" customFormat="1" ht="49.2" customHeight="1" x14ac:dyDescent="0.25">
      <c r="A150" s="42" t="s">
        <v>387</v>
      </c>
      <c r="B150" s="43" t="s">
        <v>401</v>
      </c>
      <c r="C150" s="106" t="s">
        <v>400</v>
      </c>
      <c r="D150" s="43" t="s">
        <v>72</v>
      </c>
      <c r="E150" s="50">
        <f>'Memoria de Calculo c'!D146</f>
        <v>22.49</v>
      </c>
      <c r="F150" s="107">
        <v>15.53</v>
      </c>
      <c r="G150" s="108">
        <f t="shared" si="23"/>
        <v>349.26969999999994</v>
      </c>
      <c r="H150" s="109">
        <f t="shared" si="24"/>
        <v>20.159514660773972</v>
      </c>
      <c r="I150" s="108">
        <v>453.4</v>
      </c>
      <c r="J150" s="7"/>
      <c r="K150" s="4"/>
      <c r="L150" s="5"/>
    </row>
    <row r="151" spans="1:12" s="6" customFormat="1" ht="43.2" customHeight="1" x14ac:dyDescent="0.25">
      <c r="A151" s="42" t="s">
        <v>408</v>
      </c>
      <c r="B151" s="31" t="s">
        <v>276</v>
      </c>
      <c r="C151" s="34" t="s">
        <v>275</v>
      </c>
      <c r="D151" s="21" t="s">
        <v>70</v>
      </c>
      <c r="E151" s="50">
        <f>'Memoria de Calculo c'!D147</f>
        <v>1</v>
      </c>
      <c r="F151" s="23">
        <v>6.56</v>
      </c>
      <c r="G151" s="108">
        <f t="shared" si="23"/>
        <v>6.56</v>
      </c>
      <c r="H151" s="109">
        <f t="shared" si="24"/>
        <v>8.515545149689455</v>
      </c>
      <c r="I151" s="108">
        <f>H151*E151</f>
        <v>8.515545149689455</v>
      </c>
      <c r="J151" s="7"/>
      <c r="K151" s="4"/>
      <c r="L151" s="5"/>
    </row>
    <row r="152" spans="1:12" s="6" customFormat="1" ht="30.6" customHeight="1" x14ac:dyDescent="0.25">
      <c r="A152" s="42" t="s">
        <v>409</v>
      </c>
      <c r="B152" s="31" t="s">
        <v>227</v>
      </c>
      <c r="C152" s="34" t="s">
        <v>226</v>
      </c>
      <c r="D152" s="21" t="s">
        <v>70</v>
      </c>
      <c r="E152" s="50">
        <f>'Memoria de Calculo c'!D148</f>
        <v>1</v>
      </c>
      <c r="F152" s="23">
        <v>31.65</v>
      </c>
      <c r="G152" s="108">
        <f t="shared" si="23"/>
        <v>31.65</v>
      </c>
      <c r="H152" s="109">
        <f t="shared" si="24"/>
        <v>41.084909144462088</v>
      </c>
      <c r="I152" s="108">
        <f t="shared" si="25"/>
        <v>41.084909144462088</v>
      </c>
      <c r="J152" s="7"/>
      <c r="K152" s="4"/>
      <c r="L152" s="5"/>
    </row>
    <row r="153" spans="1:12" s="6" customFormat="1" ht="33.6" customHeight="1" x14ac:dyDescent="0.25">
      <c r="A153" s="42" t="s">
        <v>410</v>
      </c>
      <c r="B153" s="21" t="s">
        <v>341</v>
      </c>
      <c r="C153" s="34" t="s">
        <v>340</v>
      </c>
      <c r="D153" s="43" t="s">
        <v>70</v>
      </c>
      <c r="E153" s="50">
        <f>'Memoria de Calculo c'!D149</f>
        <v>1</v>
      </c>
      <c r="F153" s="107">
        <v>295.17</v>
      </c>
      <c r="G153" s="108">
        <f t="shared" si="23"/>
        <v>295.17</v>
      </c>
      <c r="H153" s="109">
        <f t="shared" si="24"/>
        <v>383.16058869418248</v>
      </c>
      <c r="I153" s="108">
        <f t="shared" si="25"/>
        <v>383.16058869418248</v>
      </c>
      <c r="J153" s="7"/>
      <c r="K153" s="4"/>
      <c r="L153" s="5"/>
    </row>
    <row r="154" spans="1:12" s="6" customFormat="1" ht="31.8" customHeight="1" x14ac:dyDescent="0.25">
      <c r="A154" s="102" t="s">
        <v>67</v>
      </c>
      <c r="B154" s="43"/>
      <c r="C154" s="44" t="s">
        <v>112</v>
      </c>
      <c r="D154" s="43"/>
      <c r="E154" s="104"/>
      <c r="F154" s="107"/>
      <c r="G154" s="108"/>
      <c r="H154" s="109"/>
      <c r="I154" s="110">
        <f>SUM(I155:I168)</f>
        <v>96552.898989309237</v>
      </c>
      <c r="J154" s="7"/>
      <c r="K154" s="4"/>
      <c r="L154" s="5"/>
    </row>
    <row r="155" spans="1:12" s="6" customFormat="1" ht="35.4" customHeight="1" x14ac:dyDescent="0.25">
      <c r="A155" s="42" t="s">
        <v>68</v>
      </c>
      <c r="B155" s="111" t="s">
        <v>337</v>
      </c>
      <c r="C155" s="152" t="str">
        <f>COMPOSIÇÃO!D4</f>
        <v>QUIOSQUE COM MADEIRA ROLIÇA TRATADA, D= 25 A 29 CM, COM 4 BANCOS DE CONCRETO FORECIMENTO E INSTALAÇÃO</v>
      </c>
      <c r="D155" s="43" t="s">
        <v>70</v>
      </c>
      <c r="E155" s="105">
        <v>2</v>
      </c>
      <c r="F155" s="107">
        <f>COMPOSIÇÃO!H4</f>
        <v>2522.8366999999998</v>
      </c>
      <c r="G155" s="24">
        <f t="shared" ref="G155:G168" si="26">F155*E155</f>
        <v>5045.6733999999997</v>
      </c>
      <c r="H155" s="109">
        <f t="shared" ref="H155:H168" si="27">F155*(1+$I$6)</f>
        <v>3274.897839046273</v>
      </c>
      <c r="I155" s="24">
        <f>H155*E155</f>
        <v>6549.795678092546</v>
      </c>
      <c r="J155" s="7"/>
      <c r="K155" s="4"/>
      <c r="L155" s="5"/>
    </row>
    <row r="156" spans="1:12" s="6" customFormat="1" ht="55.8" customHeight="1" x14ac:dyDescent="0.25">
      <c r="A156" s="42" t="s">
        <v>69</v>
      </c>
      <c r="B156" s="21" t="s">
        <v>157</v>
      </c>
      <c r="C156" s="34" t="s">
        <v>156</v>
      </c>
      <c r="D156" s="43" t="s">
        <v>70</v>
      </c>
      <c r="E156" s="105">
        <f>'Memoria de Calculo c'!D152</f>
        <v>1</v>
      </c>
      <c r="F156" s="107">
        <v>2546.37</v>
      </c>
      <c r="G156" s="24">
        <f t="shared" si="26"/>
        <v>2546.37</v>
      </c>
      <c r="H156" s="109">
        <f t="shared" si="27"/>
        <v>3305.4464485998078</v>
      </c>
      <c r="I156" s="24">
        <f t="shared" ref="I156:I168" si="28">H156*E156</f>
        <v>3305.4464485998078</v>
      </c>
      <c r="J156" s="7"/>
      <c r="K156" s="4"/>
      <c r="L156" s="5"/>
    </row>
    <row r="157" spans="1:12" s="6" customFormat="1" ht="60" customHeight="1" x14ac:dyDescent="0.25">
      <c r="A157" s="42" t="s">
        <v>84</v>
      </c>
      <c r="B157" s="21" t="s">
        <v>173</v>
      </c>
      <c r="C157" s="34" t="s">
        <v>158</v>
      </c>
      <c r="D157" s="43" t="s">
        <v>70</v>
      </c>
      <c r="E157" s="105">
        <f>'Memoria de Calculo c'!D153</f>
        <v>13</v>
      </c>
      <c r="F157" s="107">
        <v>246.22</v>
      </c>
      <c r="G157" s="24">
        <f t="shared" si="26"/>
        <v>3200.86</v>
      </c>
      <c r="H157" s="109">
        <f t="shared" si="27"/>
        <v>319.61852542020392</v>
      </c>
      <c r="I157" s="24">
        <v>4155.0600000000004</v>
      </c>
      <c r="J157" s="7"/>
      <c r="K157" s="4"/>
      <c r="L157" s="5"/>
    </row>
    <row r="158" spans="1:12" s="6" customFormat="1" ht="47.4" customHeight="1" x14ac:dyDescent="0.25">
      <c r="A158" s="42" t="s">
        <v>162</v>
      </c>
      <c r="B158" s="21" t="s">
        <v>359</v>
      </c>
      <c r="C158" s="153" t="str">
        <f>COMPOSIÇÃO!D15</f>
        <v>Poste decorativo 2 pétalas, em aço galvanizado com difusor em vidro transparente temperado, com 3m/4m, inclusive lâmpada de led 150w, FORNECIMENTO E INSTALAÇÃO.</v>
      </c>
      <c r="D158" s="43" t="s">
        <v>70</v>
      </c>
      <c r="E158" s="105">
        <f>'Memoria de Calculo c'!D154</f>
        <v>8</v>
      </c>
      <c r="F158" s="107">
        <f>COMPOSIÇÃO!H15</f>
        <v>3465.9375999999997</v>
      </c>
      <c r="G158" s="24">
        <f t="shared" si="26"/>
        <v>27727.500799999998</v>
      </c>
      <c r="H158" s="109">
        <f t="shared" si="27"/>
        <v>4499.138432744865</v>
      </c>
      <c r="I158" s="24">
        <v>35993.120000000003</v>
      </c>
      <c r="J158" s="7"/>
      <c r="K158" s="4"/>
      <c r="L158" s="5"/>
    </row>
    <row r="159" spans="1:12" s="6" customFormat="1" ht="47.4" customHeight="1" x14ac:dyDescent="0.25">
      <c r="A159" s="42" t="s">
        <v>168</v>
      </c>
      <c r="B159" s="21" t="s">
        <v>415</v>
      </c>
      <c r="C159" s="153" t="s">
        <v>414</v>
      </c>
      <c r="D159" s="43" t="s">
        <v>70</v>
      </c>
      <c r="E159" s="105">
        <f>'Memoria de Calculo c'!D155</f>
        <v>3</v>
      </c>
      <c r="F159" s="107">
        <v>2684.68</v>
      </c>
      <c r="G159" s="24">
        <f t="shared" si="26"/>
        <v>8054.0399999999991</v>
      </c>
      <c r="H159" s="109">
        <f t="shared" si="27"/>
        <v>3484.9868525104098</v>
      </c>
      <c r="I159" s="24">
        <v>10454.969999999999</v>
      </c>
      <c r="J159" s="7"/>
      <c r="K159" s="4"/>
      <c r="L159" s="5"/>
    </row>
    <row r="160" spans="1:12" s="6" customFormat="1" ht="31.8" customHeight="1" x14ac:dyDescent="0.25">
      <c r="A160" s="42" t="s">
        <v>163</v>
      </c>
      <c r="B160" s="21" t="s">
        <v>341</v>
      </c>
      <c r="C160" s="34" t="s">
        <v>340</v>
      </c>
      <c r="D160" s="43" t="s">
        <v>70</v>
      </c>
      <c r="E160" s="105">
        <f>'Memoria de Calculo c'!D156</f>
        <v>11</v>
      </c>
      <c r="F160" s="107">
        <v>295.17</v>
      </c>
      <c r="G160" s="108">
        <f t="shared" si="26"/>
        <v>3246.8700000000003</v>
      </c>
      <c r="H160" s="109">
        <f t="shared" si="27"/>
        <v>383.16058869418248</v>
      </c>
      <c r="I160" s="108">
        <v>4214.76</v>
      </c>
      <c r="J160" s="7"/>
      <c r="K160" s="4"/>
      <c r="L160" s="5"/>
    </row>
    <row r="161" spans="1:12" s="6" customFormat="1" ht="31.8" customHeight="1" x14ac:dyDescent="0.25">
      <c r="A161" s="42" t="s">
        <v>169</v>
      </c>
      <c r="B161" s="111" t="s">
        <v>343</v>
      </c>
      <c r="C161" s="106" t="s">
        <v>342</v>
      </c>
      <c r="D161" s="43" t="s">
        <v>70</v>
      </c>
      <c r="E161" s="105">
        <f>'Memoria de Calculo c'!D157</f>
        <v>1</v>
      </c>
      <c r="F161" s="107">
        <v>50.2</v>
      </c>
      <c r="G161" s="108">
        <f t="shared" si="26"/>
        <v>50.2</v>
      </c>
      <c r="H161" s="109">
        <f t="shared" si="27"/>
        <v>65.164690017440662</v>
      </c>
      <c r="I161" s="108">
        <f t="shared" si="28"/>
        <v>65.164690017440662</v>
      </c>
      <c r="J161" s="7"/>
      <c r="K161" s="4"/>
      <c r="L161" s="5"/>
    </row>
    <row r="162" spans="1:12" s="6" customFormat="1" ht="31.8" customHeight="1" x14ac:dyDescent="0.25">
      <c r="A162" s="42" t="s">
        <v>388</v>
      </c>
      <c r="B162" s="111" t="s">
        <v>361</v>
      </c>
      <c r="C162" s="106" t="s">
        <v>360</v>
      </c>
      <c r="D162" s="43" t="s">
        <v>70</v>
      </c>
      <c r="E162" s="105">
        <f>'Memoria de Calculo c'!D158</f>
        <v>1</v>
      </c>
      <c r="F162" s="107">
        <v>5215.07</v>
      </c>
      <c r="G162" s="108">
        <f t="shared" si="26"/>
        <v>5215.07</v>
      </c>
      <c r="H162" s="109">
        <f t="shared" si="27"/>
        <v>6769.6896408217972</v>
      </c>
      <c r="I162" s="108">
        <f t="shared" si="28"/>
        <v>6769.6896408217972</v>
      </c>
      <c r="J162" s="7"/>
      <c r="K162" s="4"/>
      <c r="L162" s="5"/>
    </row>
    <row r="163" spans="1:12" s="6" customFormat="1" ht="31.8" customHeight="1" x14ac:dyDescent="0.25">
      <c r="A163" s="42" t="s">
        <v>389</v>
      </c>
      <c r="B163" s="111" t="s">
        <v>363</v>
      </c>
      <c r="C163" s="106" t="s">
        <v>362</v>
      </c>
      <c r="D163" s="43" t="s">
        <v>70</v>
      </c>
      <c r="E163" s="105">
        <f>'Memoria de Calculo c'!D159</f>
        <v>2</v>
      </c>
      <c r="F163" s="107">
        <v>3895.81</v>
      </c>
      <c r="G163" s="108">
        <f t="shared" si="26"/>
        <v>7791.62</v>
      </c>
      <c r="H163" s="109">
        <f t="shared" si="27"/>
        <v>5057.1563947578779</v>
      </c>
      <c r="I163" s="108">
        <v>10114.32</v>
      </c>
      <c r="J163" s="7"/>
      <c r="K163" s="4"/>
      <c r="L163" s="5"/>
    </row>
    <row r="164" spans="1:12" s="6" customFormat="1" ht="31.8" customHeight="1" x14ac:dyDescent="0.25">
      <c r="A164" s="42" t="s">
        <v>390</v>
      </c>
      <c r="B164" s="111" t="s">
        <v>365</v>
      </c>
      <c r="C164" s="106" t="s">
        <v>364</v>
      </c>
      <c r="D164" s="43" t="s">
        <v>70</v>
      </c>
      <c r="E164" s="105">
        <f>'Memoria de Calculo c'!D160</f>
        <v>1</v>
      </c>
      <c r="F164" s="107">
        <v>2072.08</v>
      </c>
      <c r="G164" s="108">
        <f t="shared" si="26"/>
        <v>2072.08</v>
      </c>
      <c r="H164" s="109">
        <f t="shared" si="27"/>
        <v>2689.7699380744707</v>
      </c>
      <c r="I164" s="108">
        <f t="shared" si="28"/>
        <v>2689.7699380744707</v>
      </c>
      <c r="J164" s="7"/>
      <c r="K164" s="4"/>
      <c r="L164" s="5"/>
    </row>
    <row r="165" spans="1:12" s="6" customFormat="1" ht="77.400000000000006" customHeight="1" x14ac:dyDescent="0.25">
      <c r="A165" s="42" t="s">
        <v>391</v>
      </c>
      <c r="B165" s="111" t="s">
        <v>367</v>
      </c>
      <c r="C165" s="106" t="s">
        <v>366</v>
      </c>
      <c r="D165" s="43" t="s">
        <v>70</v>
      </c>
      <c r="E165" s="105">
        <f>'Memoria de Calculo c'!D161</f>
        <v>2</v>
      </c>
      <c r="F165" s="107">
        <v>1406.56</v>
      </c>
      <c r="G165" s="108">
        <f t="shared" si="26"/>
        <v>2813.12</v>
      </c>
      <c r="H165" s="109">
        <f t="shared" si="27"/>
        <v>1825.8574978273173</v>
      </c>
      <c r="I165" s="108">
        <v>3651.72</v>
      </c>
      <c r="J165" s="7"/>
      <c r="K165" s="4"/>
      <c r="L165" s="5"/>
    </row>
    <row r="166" spans="1:12" s="6" customFormat="1" ht="31.8" customHeight="1" x14ac:dyDescent="0.25">
      <c r="A166" s="42" t="s">
        <v>392</v>
      </c>
      <c r="B166" s="111" t="s">
        <v>369</v>
      </c>
      <c r="C166" s="106" t="s">
        <v>368</v>
      </c>
      <c r="D166" s="43" t="s">
        <v>70</v>
      </c>
      <c r="E166" s="105">
        <f>'Memoria de Calculo c'!D162</f>
        <v>1</v>
      </c>
      <c r="F166" s="107">
        <v>4005.81</v>
      </c>
      <c r="G166" s="108">
        <f t="shared" si="26"/>
        <v>4005.81</v>
      </c>
      <c r="H166" s="109">
        <f t="shared" si="27"/>
        <v>5199.9475481825484</v>
      </c>
      <c r="I166" s="108">
        <f t="shared" si="28"/>
        <v>5199.9475481825484</v>
      </c>
      <c r="J166" s="7"/>
      <c r="K166" s="4"/>
      <c r="L166" s="5"/>
    </row>
    <row r="167" spans="1:12" s="6" customFormat="1" ht="31.8" customHeight="1" x14ac:dyDescent="0.25">
      <c r="A167" s="42" t="s">
        <v>393</v>
      </c>
      <c r="B167" s="31" t="s">
        <v>174</v>
      </c>
      <c r="C167" s="34" t="s">
        <v>154</v>
      </c>
      <c r="D167" s="21" t="s">
        <v>70</v>
      </c>
      <c r="E167" s="105">
        <f>'Memoria de Calculo c'!D163</f>
        <v>2</v>
      </c>
      <c r="F167" s="23">
        <v>444.45</v>
      </c>
      <c r="G167" s="108">
        <f t="shared" si="26"/>
        <v>888.9</v>
      </c>
      <c r="H167" s="109">
        <f t="shared" si="27"/>
        <v>576.9411649054083</v>
      </c>
      <c r="I167" s="108">
        <f t="shared" si="28"/>
        <v>1153.8823298108166</v>
      </c>
      <c r="J167" s="7"/>
      <c r="K167" s="4"/>
      <c r="L167" s="5"/>
    </row>
    <row r="168" spans="1:12" s="6" customFormat="1" ht="56.4" customHeight="1" thickBot="1" x14ac:dyDescent="0.3">
      <c r="A168" s="42" t="s">
        <v>416</v>
      </c>
      <c r="B168" s="111" t="s">
        <v>386</v>
      </c>
      <c r="C168" s="106" t="s">
        <v>385</v>
      </c>
      <c r="D168" s="43" t="s">
        <v>70</v>
      </c>
      <c r="E168" s="105">
        <f>'Memoria de Calculo c'!D164</f>
        <v>1</v>
      </c>
      <c r="F168" s="107">
        <v>1721.94</v>
      </c>
      <c r="G168" s="108">
        <f t="shared" si="26"/>
        <v>1721.94</v>
      </c>
      <c r="H168" s="109">
        <f t="shared" si="27"/>
        <v>2235.2527157097961</v>
      </c>
      <c r="I168" s="108">
        <f t="shared" si="28"/>
        <v>2235.2527157097961</v>
      </c>
      <c r="J168" s="7"/>
      <c r="K168" s="4"/>
      <c r="L168" s="5"/>
    </row>
    <row r="169" spans="1:12" s="6" customFormat="1" ht="28.8" customHeight="1" thickBot="1" x14ac:dyDescent="0.3">
      <c r="A169" s="57" t="s">
        <v>263</v>
      </c>
      <c r="B169" s="58" t="s">
        <v>3</v>
      </c>
      <c r="C169" s="58" t="s">
        <v>3</v>
      </c>
      <c r="D169" s="58" t="s">
        <v>3</v>
      </c>
      <c r="E169" s="59" t="s">
        <v>3</v>
      </c>
      <c r="F169" s="60"/>
      <c r="G169" s="61"/>
      <c r="H169" s="60" t="s">
        <v>34</v>
      </c>
      <c r="I169" s="95">
        <f>SUM(I154,I131,I123,I120,I137)</f>
        <v>259866.49953024529</v>
      </c>
      <c r="J169" s="7"/>
      <c r="K169" s="4"/>
      <c r="L169" s="5"/>
    </row>
    <row r="170" spans="1:12" s="6" customFormat="1" ht="31.8" customHeight="1" thickBot="1" x14ac:dyDescent="0.3">
      <c r="A170" s="216"/>
      <c r="B170" s="217"/>
      <c r="C170" s="217"/>
      <c r="D170" s="217"/>
      <c r="E170" s="217"/>
      <c r="F170" s="217"/>
      <c r="G170" s="217"/>
      <c r="H170" s="217"/>
      <c r="I170" s="218"/>
      <c r="J170" s="7"/>
      <c r="K170" s="4"/>
      <c r="L170" s="5"/>
    </row>
    <row r="171" spans="1:12" s="6" customFormat="1" ht="31.8" customHeight="1" thickBot="1" x14ac:dyDescent="0.3">
      <c r="A171" s="209" t="s">
        <v>2</v>
      </c>
      <c r="B171" s="210"/>
      <c r="C171" s="211" t="s">
        <v>3</v>
      </c>
      <c r="D171" s="212"/>
      <c r="E171" s="212"/>
      <c r="F171" s="212"/>
      <c r="G171" s="213"/>
      <c r="H171" s="155" t="s">
        <v>34</v>
      </c>
      <c r="I171" s="95">
        <f>SUM(I169,I118,I67)</f>
        <v>609453.46718848171</v>
      </c>
      <c r="J171" s="7"/>
      <c r="K171" s="4"/>
      <c r="L171" s="5"/>
    </row>
    <row r="172" spans="1:12" ht="15" customHeight="1" x14ac:dyDescent="0.3">
      <c r="A172" s="203"/>
      <c r="B172" s="203"/>
      <c r="C172" s="30"/>
    </row>
    <row r="173" spans="1:12" ht="15" customHeight="1" x14ac:dyDescent="0.3">
      <c r="A173" s="203"/>
      <c r="B173" s="203"/>
      <c r="C173" s="30"/>
    </row>
    <row r="174" spans="1:12" ht="15" customHeight="1" x14ac:dyDescent="0.3">
      <c r="A174" s="103"/>
      <c r="B174" s="103"/>
      <c r="C174" s="30"/>
    </row>
    <row r="175" spans="1:12" ht="15" customHeight="1" x14ac:dyDescent="0.3">
      <c r="A175" s="103"/>
      <c r="B175" s="103"/>
      <c r="C175" s="30"/>
    </row>
    <row r="176" spans="1:12" ht="15" customHeight="1" x14ac:dyDescent="0.3">
      <c r="A176" s="103"/>
      <c r="B176" s="103"/>
      <c r="C176" s="30"/>
    </row>
    <row r="177" spans="1:13" ht="15" customHeight="1" x14ac:dyDescent="0.3">
      <c r="A177" s="203"/>
      <c r="B177" s="203"/>
      <c r="C177" s="214" t="s">
        <v>105</v>
      </c>
      <c r="D177" s="214"/>
      <c r="E177" s="215" t="s">
        <v>106</v>
      </c>
      <c r="F177" s="215"/>
      <c r="G177" s="215"/>
      <c r="H177" s="215"/>
    </row>
    <row r="178" spans="1:13" ht="15" customHeight="1" x14ac:dyDescent="0.3">
      <c r="A178" s="203"/>
      <c r="B178" s="203"/>
      <c r="C178" s="204" t="s">
        <v>202</v>
      </c>
      <c r="D178" s="204"/>
      <c r="E178" s="205" t="s">
        <v>107</v>
      </c>
      <c r="F178" s="205"/>
      <c r="G178" s="205"/>
      <c r="H178" s="205"/>
      <c r="K178"/>
      <c r="L178"/>
    </row>
    <row r="179" spans="1:13" ht="15" customHeight="1" x14ac:dyDescent="0.3">
      <c r="A179" s="203"/>
      <c r="B179" s="203"/>
      <c r="C179" s="206" t="s">
        <v>108</v>
      </c>
      <c r="D179" s="206"/>
      <c r="E179" s="207" t="s">
        <v>109</v>
      </c>
      <c r="F179" s="208"/>
      <c r="G179" s="208"/>
      <c r="H179" s="208"/>
      <c r="K179"/>
      <c r="L179"/>
    </row>
    <row r="180" spans="1:13" ht="15" customHeight="1" x14ac:dyDescent="0.3">
      <c r="A180" s="203"/>
      <c r="B180" s="203"/>
      <c r="C180" s="206" t="s">
        <v>250</v>
      </c>
      <c r="D180" s="206"/>
      <c r="E180" s="52"/>
      <c r="F180" s="53"/>
      <c r="G180" s="54"/>
      <c r="H180" s="54"/>
    </row>
    <row r="181" spans="1:13" ht="15" customHeight="1" x14ac:dyDescent="0.3">
      <c r="A181" s="203"/>
      <c r="B181" s="203"/>
      <c r="C181" s="30"/>
      <c r="D181" s="29"/>
    </row>
    <row r="182" spans="1:13" ht="15" customHeight="1" x14ac:dyDescent="0.3">
      <c r="A182" s="203"/>
      <c r="B182" s="203"/>
      <c r="C182" s="30"/>
      <c r="D182" s="29"/>
    </row>
    <row r="183" spans="1:13" s="3" customFormat="1" ht="15" customHeight="1" x14ac:dyDescent="0.3">
      <c r="A183" s="203"/>
      <c r="B183" s="203"/>
      <c r="C183" s="30"/>
      <c r="D183" s="29"/>
      <c r="J183" s="2"/>
      <c r="L183" s="1"/>
      <c r="M183"/>
    </row>
    <row r="184" spans="1:13" s="3" customFormat="1" x14ac:dyDescent="0.3">
      <c r="A184" s="203"/>
      <c r="B184" s="203"/>
      <c r="C184" s="30"/>
      <c r="J184" s="2"/>
      <c r="L184" s="1"/>
      <c r="M184"/>
    </row>
    <row r="186" spans="1:13" s="3" customFormat="1" x14ac:dyDescent="0.3">
      <c r="C186" s="3" t="s">
        <v>152</v>
      </c>
      <c r="J186" s="2"/>
      <c r="L186" s="1"/>
      <c r="M186"/>
    </row>
    <row r="187" spans="1:13" s="3" customFormat="1" x14ac:dyDescent="0.3">
      <c r="C187" s="3" t="s">
        <v>153</v>
      </c>
      <c r="J187" s="2"/>
      <c r="L187" s="1"/>
      <c r="M187"/>
    </row>
    <row r="198" spans="2:13" s="3" customFormat="1" ht="55.8" x14ac:dyDescent="0.3">
      <c r="B198" t="s">
        <v>188</v>
      </c>
      <c r="C198" s="97" t="s">
        <v>187</v>
      </c>
      <c r="D198" s="3" t="s">
        <v>73</v>
      </c>
      <c r="E198">
        <v>54.85</v>
      </c>
      <c r="J198" s="2"/>
      <c r="L198" s="1"/>
      <c r="M198"/>
    </row>
  </sheetData>
  <mergeCells count="51">
    <mergeCell ref="A6:E6"/>
    <mergeCell ref="F6:G6"/>
    <mergeCell ref="I6:I11"/>
    <mergeCell ref="A7:E7"/>
    <mergeCell ref="F7:G7"/>
    <mergeCell ref="A8:E8"/>
    <mergeCell ref="F8:G8"/>
    <mergeCell ref="A9:E9"/>
    <mergeCell ref="F9:G9"/>
    <mergeCell ref="A10:E10"/>
    <mergeCell ref="F10:G10"/>
    <mergeCell ref="A1:I3"/>
    <mergeCell ref="A4:E5"/>
    <mergeCell ref="F4:H4"/>
    <mergeCell ref="I4:I5"/>
    <mergeCell ref="F5:G5"/>
    <mergeCell ref="A170:I170"/>
    <mergeCell ref="A11:E11"/>
    <mergeCell ref="F11:G11"/>
    <mergeCell ref="A12:I12"/>
    <mergeCell ref="A13:A15"/>
    <mergeCell ref="B13:B15"/>
    <mergeCell ref="C13:C15"/>
    <mergeCell ref="D13:D15"/>
    <mergeCell ref="E13:E15"/>
    <mergeCell ref="F13:G13"/>
    <mergeCell ref="H13:I13"/>
    <mergeCell ref="F14:G14"/>
    <mergeCell ref="H14:I14"/>
    <mergeCell ref="A16:I16"/>
    <mergeCell ref="A68:I68"/>
    <mergeCell ref="A119:I119"/>
    <mergeCell ref="A171:B171"/>
    <mergeCell ref="C171:G171"/>
    <mergeCell ref="A172:B172"/>
    <mergeCell ref="A173:B173"/>
    <mergeCell ref="A177:B177"/>
    <mergeCell ref="C177:D177"/>
    <mergeCell ref="E177:H177"/>
    <mergeCell ref="A184:B184"/>
    <mergeCell ref="A178:B178"/>
    <mergeCell ref="C178:D178"/>
    <mergeCell ref="E178:H178"/>
    <mergeCell ref="A179:B179"/>
    <mergeCell ref="C179:D179"/>
    <mergeCell ref="E179:H179"/>
    <mergeCell ref="A180:B180"/>
    <mergeCell ref="C180:D180"/>
    <mergeCell ref="A181:B181"/>
    <mergeCell ref="A182:B182"/>
    <mergeCell ref="A183:B183"/>
  </mergeCells>
  <dataValidations disablePrompts="1" count="1">
    <dataValidation type="list" allowBlank="1" showInputMessage="1" showErrorMessage="1" sqref="F6:G7 F9:G11" xr:uid="{6838E27E-FC4D-4EA4-A42A-41A94C892513}">
      <formula1>"COPASA,CEMIG,DEER-MG,DNIT,SETOP_Central,SETOP_Jequitinhonha,SETOP_Leste,SETOP_Norte,SETOP_Sul,SETOP_Triângulo,SINAPI,SUDECAP"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 differentFirst="1" alignWithMargins="0">
    <oddFooter>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E3A3-BE3F-47FD-A347-3C14C84A7D12}">
  <sheetPr>
    <tabColor rgb="FF92D050"/>
    <pageSetUpPr fitToPage="1"/>
  </sheetPr>
  <dimension ref="B1:K62"/>
  <sheetViews>
    <sheetView showGridLines="0" view="pageBreakPreview" topLeftCell="A4" zoomScale="85" zoomScaleNormal="75" zoomScaleSheetLayoutView="85" workbookViewId="0">
      <selection activeCell="B7" sqref="B7:C7"/>
    </sheetView>
  </sheetViews>
  <sheetFormatPr defaultColWidth="9.109375" defaultRowHeight="13.2" x14ac:dyDescent="0.25"/>
  <cols>
    <col min="1" max="1" width="7.5546875" style="41" customWidth="1"/>
    <col min="2" max="2" width="8.109375" style="41" customWidth="1"/>
    <col min="3" max="3" width="44.109375" style="198" bestFit="1" customWidth="1"/>
    <col min="4" max="4" width="15.21875" style="41" customWidth="1"/>
    <col min="5" max="5" width="16.44140625" style="41" customWidth="1"/>
    <col min="6" max="6" width="14.33203125" style="41" customWidth="1"/>
    <col min="7" max="7" width="15" style="41" customWidth="1"/>
    <col min="8" max="8" width="15.88671875" style="41" customWidth="1"/>
    <col min="9" max="9" width="20" style="41" customWidth="1"/>
    <col min="10" max="10" width="9.109375" style="41"/>
    <col min="11" max="11" width="11" style="41" bestFit="1" customWidth="1"/>
    <col min="12" max="16384" width="9.109375" style="41"/>
  </cols>
  <sheetData>
    <row r="1" spans="2:11" ht="69.900000000000006" customHeight="1" x14ac:dyDescent="0.25">
      <c r="B1" s="156"/>
      <c r="C1" s="293"/>
      <c r="D1" s="293"/>
      <c r="E1" s="293"/>
      <c r="F1" s="293"/>
      <c r="G1" s="293"/>
      <c r="H1" s="293"/>
      <c r="I1" s="294"/>
    </row>
    <row r="2" spans="2:11" ht="3" customHeight="1" x14ac:dyDescent="0.25">
      <c r="B2" s="157"/>
      <c r="C2" s="158"/>
      <c r="D2" s="159"/>
      <c r="E2" s="159"/>
      <c r="F2" s="159"/>
      <c r="G2" s="159"/>
      <c r="H2" s="159"/>
      <c r="I2" s="160"/>
    </row>
    <row r="3" spans="2:11" x14ac:dyDescent="0.25">
      <c r="B3" s="295" t="s">
        <v>445</v>
      </c>
      <c r="C3" s="296"/>
      <c r="D3" s="296"/>
      <c r="E3" s="296"/>
      <c r="F3" s="296"/>
      <c r="G3" s="296"/>
      <c r="H3" s="296"/>
      <c r="I3" s="297"/>
      <c r="J3" s="40"/>
    </row>
    <row r="4" spans="2:11" ht="3" customHeight="1" x14ac:dyDescent="0.25">
      <c r="B4" s="161"/>
      <c r="C4" s="162"/>
      <c r="D4" s="163"/>
      <c r="E4" s="163"/>
      <c r="F4" s="163"/>
      <c r="G4" s="163"/>
      <c r="H4" s="163"/>
      <c r="I4" s="164"/>
      <c r="J4" s="40"/>
    </row>
    <row r="5" spans="2:11" ht="34.200000000000003" customHeight="1" x14ac:dyDescent="0.25">
      <c r="B5" s="298" t="s">
        <v>467</v>
      </c>
      <c r="C5" s="299"/>
      <c r="D5" s="299"/>
      <c r="E5" s="299"/>
      <c r="F5" s="299"/>
      <c r="G5" s="299"/>
      <c r="H5" s="299"/>
      <c r="I5" s="300"/>
      <c r="J5" s="40"/>
    </row>
    <row r="6" spans="2:11" x14ac:dyDescent="0.25">
      <c r="B6" s="301" t="s">
        <v>468</v>
      </c>
      <c r="C6" s="302"/>
      <c r="D6" s="165"/>
      <c r="E6" s="166"/>
      <c r="F6" s="165"/>
      <c r="G6" s="165"/>
      <c r="H6" s="303" t="s">
        <v>454</v>
      </c>
      <c r="I6" s="304"/>
    </row>
    <row r="7" spans="2:11" x14ac:dyDescent="0.25">
      <c r="B7" s="301" t="s">
        <v>462</v>
      </c>
      <c r="C7" s="302"/>
      <c r="D7" s="163"/>
      <c r="E7" s="163"/>
      <c r="F7" s="163"/>
      <c r="G7" s="163"/>
      <c r="H7" s="163"/>
      <c r="I7" s="164"/>
    </row>
    <row r="8" spans="2:11" ht="26.4" x14ac:dyDescent="0.25">
      <c r="B8" s="167" t="s">
        <v>78</v>
      </c>
      <c r="C8" s="168" t="s">
        <v>79</v>
      </c>
      <c r="D8" s="169" t="s">
        <v>446</v>
      </c>
      <c r="E8" s="170" t="s">
        <v>447</v>
      </c>
      <c r="F8" s="170" t="s">
        <v>448</v>
      </c>
      <c r="G8" s="170" t="s">
        <v>449</v>
      </c>
      <c r="H8" s="170" t="s">
        <v>450</v>
      </c>
      <c r="I8" s="171" t="s">
        <v>2</v>
      </c>
    </row>
    <row r="9" spans="2:11" x14ac:dyDescent="0.25">
      <c r="B9" s="305" t="s">
        <v>252</v>
      </c>
      <c r="C9" s="306"/>
      <c r="D9" s="306"/>
      <c r="E9" s="306"/>
      <c r="F9" s="306"/>
      <c r="G9" s="306"/>
      <c r="H9" s="306"/>
      <c r="I9" s="307"/>
    </row>
    <row r="10" spans="2:11" x14ac:dyDescent="0.25">
      <c r="B10" s="308">
        <f>'[15]PLAN ORÇ'!A13</f>
        <v>1</v>
      </c>
      <c r="C10" s="291" t="s">
        <v>455</v>
      </c>
      <c r="D10" s="172">
        <f>D11/$D$23</f>
        <v>4.050965467264233E-2</v>
      </c>
      <c r="E10" s="172">
        <v>1</v>
      </c>
      <c r="F10" s="172"/>
      <c r="G10" s="172"/>
      <c r="H10" s="172"/>
      <c r="I10" s="173">
        <f>SUM(E10:H10)</f>
        <v>1</v>
      </c>
    </row>
    <row r="11" spans="2:11" x14ac:dyDescent="0.25">
      <c r="B11" s="308"/>
      <c r="C11" s="292"/>
      <c r="D11" s="174">
        <f>'Planilha Orçamentária'!I17</f>
        <v>3634.5450634663875</v>
      </c>
      <c r="E11" s="174">
        <f>E10*D11</f>
        <v>3634.5450634663875</v>
      </c>
      <c r="F11" s="174"/>
      <c r="G11" s="174"/>
      <c r="H11" s="174"/>
      <c r="I11" s="175">
        <f>ROUND(SUM(E11:H11),2)</f>
        <v>3634.55</v>
      </c>
      <c r="K11" s="176"/>
    </row>
    <row r="12" spans="2:11" x14ac:dyDescent="0.25">
      <c r="B12" s="289">
        <f>'[15]PLAN ORÇ'!A17</f>
        <v>2</v>
      </c>
      <c r="C12" s="291" t="s">
        <v>456</v>
      </c>
      <c r="D12" s="172">
        <f>D13/$D$23</f>
        <v>4.92738193984152E-2</v>
      </c>
      <c r="E12" s="172">
        <v>1</v>
      </c>
      <c r="F12" s="172"/>
      <c r="G12" s="172"/>
      <c r="H12" s="172"/>
      <c r="I12" s="173">
        <f>SUM(E12:H12)</f>
        <v>1</v>
      </c>
    </row>
    <row r="13" spans="2:11" x14ac:dyDescent="0.25">
      <c r="B13" s="290"/>
      <c r="C13" s="292"/>
      <c r="D13" s="174">
        <f>'Planilha Orçamentária'!I22</f>
        <v>4420.87</v>
      </c>
      <c r="E13" s="174">
        <f>E12*$D13</f>
        <v>4420.87</v>
      </c>
      <c r="F13" s="174"/>
      <c r="G13" s="174"/>
      <c r="H13" s="174"/>
      <c r="I13" s="175">
        <f>ROUND(SUM(E13:H13),2)</f>
        <v>4420.87</v>
      </c>
      <c r="K13" s="176"/>
    </row>
    <row r="14" spans="2:11" ht="12.75" customHeight="1" x14ac:dyDescent="0.25">
      <c r="B14" s="289">
        <v>3</v>
      </c>
      <c r="C14" s="291" t="s">
        <v>457</v>
      </c>
      <c r="D14" s="172">
        <f>D15/$D$23</f>
        <v>6.848100423981808E-2</v>
      </c>
      <c r="E14" s="172">
        <v>0</v>
      </c>
      <c r="F14" s="172">
        <v>1</v>
      </c>
      <c r="G14" s="172"/>
      <c r="H14" s="172"/>
      <c r="I14" s="173">
        <f>SUM(E14:H14)</f>
        <v>1</v>
      </c>
    </row>
    <row r="15" spans="2:11" x14ac:dyDescent="0.25">
      <c r="B15" s="290"/>
      <c r="C15" s="292"/>
      <c r="D15" s="174">
        <f>'Planilha Orçamentária'!I25</f>
        <v>6144.14755969621</v>
      </c>
      <c r="E15" s="174">
        <f>E14*D15</f>
        <v>0</v>
      </c>
      <c r="F15" s="174">
        <f>F14*$D15</f>
        <v>6144.14755969621</v>
      </c>
      <c r="G15" s="174">
        <f>G14*$D15</f>
        <v>0</v>
      </c>
      <c r="H15" s="174"/>
      <c r="I15" s="175">
        <f>ROUND(SUM(E15:H15),2)</f>
        <v>6144.15</v>
      </c>
      <c r="K15" s="176"/>
    </row>
    <row r="16" spans="2:11" ht="12.75" customHeight="1" x14ac:dyDescent="0.25">
      <c r="B16" s="289">
        <f>'[15]PLAN ORÇ'!A32</f>
        <v>4</v>
      </c>
      <c r="C16" s="291" t="s">
        <v>165</v>
      </c>
      <c r="D16" s="172">
        <f>D17/$D$23</f>
        <v>0.26065539313961117</v>
      </c>
      <c r="E16" s="172">
        <v>0.3</v>
      </c>
      <c r="F16" s="172">
        <v>0.7</v>
      </c>
      <c r="G16" s="172"/>
      <c r="H16" s="172"/>
      <c r="I16" s="173">
        <f>SUM(E16:H16)</f>
        <v>1</v>
      </c>
    </row>
    <row r="17" spans="2:11" x14ac:dyDescent="0.25">
      <c r="B17" s="290"/>
      <c r="C17" s="292"/>
      <c r="D17" s="174">
        <f>'Planilha Orçamentária'!I32</f>
        <v>23386.12313674582</v>
      </c>
      <c r="E17" s="174">
        <f>E16*D17</f>
        <v>7015.8369410237456</v>
      </c>
      <c r="F17" s="174">
        <f>F16*D17</f>
        <v>16370.286195722074</v>
      </c>
      <c r="G17" s="174">
        <f>G16*$D$17</f>
        <v>0</v>
      </c>
      <c r="H17" s="174">
        <f>H16*$D17</f>
        <v>0</v>
      </c>
      <c r="I17" s="175">
        <f>ROUND(SUM(E17:H17),2)</f>
        <v>23386.12</v>
      </c>
      <c r="K17" s="176"/>
    </row>
    <row r="18" spans="2:11" x14ac:dyDescent="0.25">
      <c r="B18" s="289">
        <f>'[15]PLAN ORÇ'!A47</f>
        <v>5</v>
      </c>
      <c r="C18" s="291" t="s">
        <v>458</v>
      </c>
      <c r="D18" s="172">
        <f>D19/$D$23</f>
        <v>5.9049095614151802E-2</v>
      </c>
      <c r="E18" s="172"/>
      <c r="F18" s="172">
        <v>0</v>
      </c>
      <c r="G18" s="172">
        <v>1</v>
      </c>
      <c r="H18" s="172"/>
      <c r="I18" s="173">
        <f>SUM(E18:H18)</f>
        <v>1</v>
      </c>
      <c r="K18" s="176"/>
    </row>
    <row r="19" spans="2:11" x14ac:dyDescent="0.25">
      <c r="B19" s="290"/>
      <c r="C19" s="292"/>
      <c r="D19" s="174">
        <f>'Planilha Orçamentária'!I41</f>
        <v>5297.9123298108161</v>
      </c>
      <c r="E19" s="174">
        <f>E18*$D$19</f>
        <v>0</v>
      </c>
      <c r="F19" s="174">
        <f>F18*$D$19</f>
        <v>0</v>
      </c>
      <c r="G19" s="174">
        <f>G18*$D$19</f>
        <v>5297.9123298108161</v>
      </c>
      <c r="H19" s="174">
        <f t="shared" ref="H19" si="0">H18*$D$19</f>
        <v>0</v>
      </c>
      <c r="I19" s="175">
        <f>ROUND(SUM(E19:H19),2)</f>
        <v>5297.91</v>
      </c>
      <c r="K19" s="176"/>
    </row>
    <row r="20" spans="2:11" x14ac:dyDescent="0.25">
      <c r="B20" s="289">
        <v>6</v>
      </c>
      <c r="C20" s="291" t="s">
        <v>421</v>
      </c>
      <c r="D20" s="172">
        <f>D21/$D$23</f>
        <v>0.52203103293536146</v>
      </c>
      <c r="E20" s="172"/>
      <c r="F20" s="172">
        <v>0</v>
      </c>
      <c r="G20" s="172">
        <v>1</v>
      </c>
      <c r="H20" s="172">
        <v>0</v>
      </c>
      <c r="I20" s="173">
        <f>SUM(E20:H20)</f>
        <v>1</v>
      </c>
      <c r="K20" s="176"/>
    </row>
    <row r="21" spans="2:11" x14ac:dyDescent="0.25">
      <c r="B21" s="290"/>
      <c r="C21" s="292"/>
      <c r="D21" s="174">
        <f>'Planilha Orçamentária'!I49</f>
        <v>46836.867138559552</v>
      </c>
      <c r="E21" s="174">
        <f>E20*$D$21</f>
        <v>0</v>
      </c>
      <c r="F21" s="174">
        <f>F20*$D$21</f>
        <v>0</v>
      </c>
      <c r="G21" s="174">
        <f>G20*$D$21</f>
        <v>46836.867138559552</v>
      </c>
      <c r="H21" s="174">
        <f t="shared" ref="H21" si="1">H20*$D$21</f>
        <v>0</v>
      </c>
      <c r="I21" s="175">
        <f>ROUND(SUM(E21:H21),2)</f>
        <v>46836.87</v>
      </c>
      <c r="K21" s="176"/>
    </row>
    <row r="22" spans="2:11" x14ac:dyDescent="0.25">
      <c r="B22" s="309" t="s">
        <v>263</v>
      </c>
      <c r="C22" s="310"/>
      <c r="D22" s="177">
        <f>D20+D18+D16+D14+D12+D10</f>
        <v>1</v>
      </c>
      <c r="E22" s="178">
        <f>E23/$D$23</f>
        <v>0.16798009201294087</v>
      </c>
      <c r="F22" s="178">
        <f>F23/$D$23</f>
        <v>0.25093977943754592</v>
      </c>
      <c r="G22" s="178">
        <f>G23/$D$23</f>
        <v>0.58108012854951319</v>
      </c>
      <c r="H22" s="178">
        <f>H23/$D$23</f>
        <v>0</v>
      </c>
      <c r="I22" s="179">
        <f>I23/D23</f>
        <v>1.0000000531843121</v>
      </c>
      <c r="K22" s="176"/>
    </row>
    <row r="23" spans="2:11" x14ac:dyDescent="0.25">
      <c r="B23" s="311"/>
      <c r="C23" s="312"/>
      <c r="D23" s="180">
        <f t="shared" ref="D23:H23" si="2">D21+D11+D13+D15+D17+D19</f>
        <v>89720.465228278787</v>
      </c>
      <c r="E23" s="180">
        <f t="shared" si="2"/>
        <v>15071.252004490132</v>
      </c>
      <c r="F23" s="180">
        <f t="shared" si="2"/>
        <v>22514.433755418286</v>
      </c>
      <c r="G23" s="180">
        <f t="shared" si="2"/>
        <v>52134.779468370369</v>
      </c>
      <c r="H23" s="180">
        <f t="shared" si="2"/>
        <v>0</v>
      </c>
      <c r="I23" s="181">
        <f>I21+I11+I13+I15+I17+I19</f>
        <v>89720.470000000016</v>
      </c>
      <c r="K23" s="176"/>
    </row>
    <row r="24" spans="2:11" x14ac:dyDescent="0.25">
      <c r="B24" s="305" t="s">
        <v>460</v>
      </c>
      <c r="C24" s="306"/>
      <c r="D24" s="306"/>
      <c r="E24" s="306"/>
      <c r="F24" s="306"/>
      <c r="G24" s="306"/>
      <c r="H24" s="306"/>
      <c r="I24" s="307"/>
      <c r="K24" s="176"/>
    </row>
    <row r="25" spans="2:11" x14ac:dyDescent="0.25">
      <c r="B25" s="289">
        <v>1</v>
      </c>
      <c r="C25" s="291" t="s">
        <v>455</v>
      </c>
      <c r="D25" s="172">
        <f>D26/$D$36</f>
        <v>2.4903594497502828E-2</v>
      </c>
      <c r="E25" s="172">
        <v>1</v>
      </c>
      <c r="F25" s="172"/>
      <c r="G25" s="172"/>
      <c r="H25" s="172"/>
      <c r="I25" s="173">
        <f>SUM(E25:H25)</f>
        <v>1</v>
      </c>
      <c r="K25" s="176"/>
    </row>
    <row r="26" spans="2:11" x14ac:dyDescent="0.25">
      <c r="B26" s="290"/>
      <c r="C26" s="292"/>
      <c r="D26" s="174">
        <f>'Planilha Orçamentária'!I69</f>
        <v>6471.61</v>
      </c>
      <c r="E26" s="174">
        <f>E25*$D$26</f>
        <v>6471.61</v>
      </c>
      <c r="F26" s="174">
        <f>F25*$D$26</f>
        <v>0</v>
      </c>
      <c r="G26" s="174">
        <f>G25*$D$26</f>
        <v>0</v>
      </c>
      <c r="H26" s="174">
        <f>H25*$D26</f>
        <v>0</v>
      </c>
      <c r="I26" s="175">
        <f>ROUND(SUM(E26:H26),2)</f>
        <v>6471.61</v>
      </c>
      <c r="K26" s="176"/>
    </row>
    <row r="27" spans="2:11" x14ac:dyDescent="0.25">
      <c r="B27" s="289">
        <v>2</v>
      </c>
      <c r="C27" s="291" t="s">
        <v>459</v>
      </c>
      <c r="D27" s="172">
        <f>D28/$D$36</f>
        <v>0.13303503790111651</v>
      </c>
      <c r="E27" s="172">
        <v>0.7</v>
      </c>
      <c r="F27" s="172">
        <v>0.3</v>
      </c>
      <c r="G27" s="172">
        <v>0</v>
      </c>
      <c r="H27" s="172"/>
      <c r="I27" s="173">
        <f>SUM(E27:H27)</f>
        <v>1</v>
      </c>
      <c r="K27" s="176"/>
    </row>
    <row r="28" spans="2:11" x14ac:dyDescent="0.25">
      <c r="B28" s="290"/>
      <c r="C28" s="292"/>
      <c r="D28" s="174">
        <f>'Planilha Orçamentária'!I72</f>
        <v>34571.350000000006</v>
      </c>
      <c r="E28" s="174">
        <f>E27*$D28</f>
        <v>24199.945000000003</v>
      </c>
      <c r="F28" s="174">
        <f>F27*$D28</f>
        <v>10371.405000000001</v>
      </c>
      <c r="G28" s="174">
        <f>G27*$D28</f>
        <v>0</v>
      </c>
      <c r="H28" s="174">
        <f>H27*$D28</f>
        <v>0</v>
      </c>
      <c r="I28" s="175">
        <f>ROUND(SUM(E28:H28),2)</f>
        <v>34571.35</v>
      </c>
      <c r="K28" s="176"/>
    </row>
    <row r="29" spans="2:11" x14ac:dyDescent="0.25">
      <c r="B29" s="289">
        <v>3</v>
      </c>
      <c r="C29" s="291" t="s">
        <v>257</v>
      </c>
      <c r="D29" s="172">
        <f>D30/$D$36</f>
        <v>0.36000253639930146</v>
      </c>
      <c r="E29" s="172"/>
      <c r="F29" s="172">
        <v>0.3</v>
      </c>
      <c r="G29" s="172">
        <v>0.7</v>
      </c>
      <c r="H29" s="172"/>
      <c r="I29" s="173">
        <f>SUM(E29:H29)</f>
        <v>1</v>
      </c>
      <c r="K29" s="176"/>
    </row>
    <row r="30" spans="2:11" x14ac:dyDescent="0.25">
      <c r="B30" s="290"/>
      <c r="C30" s="292"/>
      <c r="D30" s="174">
        <f>'Planilha Orçamentária'!I80</f>
        <v>93552.6</v>
      </c>
      <c r="E30" s="174">
        <f>E29*$D30</f>
        <v>0</v>
      </c>
      <c r="F30" s="174">
        <f>F29*$D30</f>
        <v>28065.780000000002</v>
      </c>
      <c r="G30" s="174">
        <f>G29*$D30</f>
        <v>65486.82</v>
      </c>
      <c r="H30" s="174">
        <f>H29*$D30</f>
        <v>0</v>
      </c>
      <c r="I30" s="175">
        <f>ROUND(SUM(E30:H30),2)</f>
        <v>93552.6</v>
      </c>
      <c r="K30" s="176"/>
    </row>
    <row r="31" spans="2:11" x14ac:dyDescent="0.25">
      <c r="B31" s="289">
        <v>4</v>
      </c>
      <c r="C31" s="291" t="s">
        <v>165</v>
      </c>
      <c r="D31" s="172">
        <f>D32/$D$36</f>
        <v>0.11051075522282393</v>
      </c>
      <c r="E31" s="172"/>
      <c r="F31" s="172">
        <v>0.6</v>
      </c>
      <c r="G31" s="172">
        <v>0.4</v>
      </c>
      <c r="H31" s="172"/>
      <c r="I31" s="173">
        <f>SUM(E31:H31)</f>
        <v>1</v>
      </c>
      <c r="K31" s="176"/>
    </row>
    <row r="32" spans="2:11" x14ac:dyDescent="0.25">
      <c r="B32" s="290"/>
      <c r="C32" s="292"/>
      <c r="D32" s="174">
        <f>'Planilha Orçamentária'!I86</f>
        <v>28718.043440648431</v>
      </c>
      <c r="E32" s="174">
        <f>E31*$D32</f>
        <v>0</v>
      </c>
      <c r="F32" s="174">
        <f t="shared" ref="F32:H32" si="3">F31*$D32</f>
        <v>17230.826064389057</v>
      </c>
      <c r="G32" s="174">
        <f t="shared" si="3"/>
        <v>11487.217376259374</v>
      </c>
      <c r="H32" s="174">
        <f t="shared" si="3"/>
        <v>0</v>
      </c>
      <c r="I32" s="175">
        <f>ROUND(SUM(E32:H32),2)</f>
        <v>28718.04</v>
      </c>
      <c r="K32" s="176"/>
    </row>
    <row r="33" spans="2:11" x14ac:dyDescent="0.25">
      <c r="B33" s="289">
        <v>5</v>
      </c>
      <c r="C33" s="291" t="s">
        <v>458</v>
      </c>
      <c r="D33" s="172">
        <f>D34/$D$36</f>
        <v>0.37154807597925527</v>
      </c>
      <c r="E33" s="174">
        <f>E32*$D33</f>
        <v>0</v>
      </c>
      <c r="F33" s="172"/>
      <c r="G33" s="172">
        <v>0.2</v>
      </c>
      <c r="H33" s="172">
        <v>0.8</v>
      </c>
      <c r="I33" s="173">
        <f>SUM(E33:H33)</f>
        <v>1</v>
      </c>
      <c r="K33" s="176"/>
    </row>
    <row r="34" spans="2:11" x14ac:dyDescent="0.25">
      <c r="B34" s="290"/>
      <c r="C34" s="292"/>
      <c r="D34" s="174">
        <f>'Planilha Orçamentária'!I103</f>
        <v>96552.898989309237</v>
      </c>
      <c r="E34" s="174">
        <f>E33*$D34</f>
        <v>0</v>
      </c>
      <c r="F34" s="174">
        <f t="shared" ref="F34:H34" si="4">F33*$D34</f>
        <v>0</v>
      </c>
      <c r="G34" s="174">
        <f t="shared" si="4"/>
        <v>19310.579797861847</v>
      </c>
      <c r="H34" s="174">
        <f t="shared" si="4"/>
        <v>77242.319191447386</v>
      </c>
      <c r="I34" s="175">
        <f>ROUND(SUM(E34:H34),2)</f>
        <v>96552.9</v>
      </c>
      <c r="K34" s="176"/>
    </row>
    <row r="35" spans="2:11" x14ac:dyDescent="0.25">
      <c r="B35" s="309" t="s">
        <v>263</v>
      </c>
      <c r="C35" s="310"/>
      <c r="D35" s="177">
        <f>D25+D27+D33+D31+D29</f>
        <v>1</v>
      </c>
      <c r="E35" s="178">
        <f>E36/$D$36</f>
        <v>0.11802812102828439</v>
      </c>
      <c r="F35" s="178">
        <f>F36/$D$36</f>
        <v>0.21421772542381975</v>
      </c>
      <c r="G35" s="178">
        <f>G36/D36</f>
        <v>0.37051569276449164</v>
      </c>
      <c r="H35" s="178">
        <f>H36/D36</f>
        <v>0.29723846078340421</v>
      </c>
      <c r="I35" s="179">
        <f>I36/D36</f>
        <v>0.99999999064920775</v>
      </c>
      <c r="K35" s="176"/>
    </row>
    <row r="36" spans="2:11" x14ac:dyDescent="0.25">
      <c r="B36" s="311"/>
      <c r="C36" s="312"/>
      <c r="D36" s="180">
        <f t="shared" ref="D36:I36" si="5">D26+D28+D30+D32+D34</f>
        <v>259866.50242995768</v>
      </c>
      <c r="E36" s="180">
        <f t="shared" si="5"/>
        <v>30671.555000000004</v>
      </c>
      <c r="F36" s="180">
        <f t="shared" si="5"/>
        <v>55668.011064389066</v>
      </c>
      <c r="G36" s="180">
        <f t="shared" si="5"/>
        <v>96284.617174121217</v>
      </c>
      <c r="H36" s="180">
        <f t="shared" si="5"/>
        <v>77242.319191447386</v>
      </c>
      <c r="I36" s="181">
        <f t="shared" si="5"/>
        <v>259866.5</v>
      </c>
      <c r="K36" s="181"/>
    </row>
    <row r="37" spans="2:11" x14ac:dyDescent="0.25">
      <c r="B37" s="305" t="s">
        <v>321</v>
      </c>
      <c r="C37" s="306"/>
      <c r="D37" s="306"/>
      <c r="E37" s="306"/>
      <c r="F37" s="306"/>
      <c r="G37" s="306"/>
      <c r="H37" s="306"/>
      <c r="I37" s="307"/>
      <c r="K37" s="176"/>
    </row>
    <row r="38" spans="2:11" x14ac:dyDescent="0.25">
      <c r="B38" s="289">
        <v>1</v>
      </c>
      <c r="C38" s="291" t="s">
        <v>455</v>
      </c>
      <c r="D38" s="172">
        <f>D39/$D$49</f>
        <v>2.4903583616919311E-2</v>
      </c>
      <c r="E38" s="172">
        <v>1</v>
      </c>
      <c r="F38" s="172"/>
      <c r="G38" s="172">
        <v>0</v>
      </c>
      <c r="H38" s="172">
        <v>0</v>
      </c>
      <c r="I38" s="173">
        <f>SUM(E38:H38)</f>
        <v>1</v>
      </c>
      <c r="K38" s="176"/>
    </row>
    <row r="39" spans="2:11" x14ac:dyDescent="0.25">
      <c r="B39" s="290"/>
      <c r="C39" s="292"/>
      <c r="D39" s="174">
        <f>'Planilha Orçamentária'!I120</f>
        <v>6471.607100287586</v>
      </c>
      <c r="E39" s="174">
        <f t="shared" ref="E39:H39" si="6">E38*$D$39</f>
        <v>6471.607100287586</v>
      </c>
      <c r="F39" s="174">
        <f t="shared" si="6"/>
        <v>0</v>
      </c>
      <c r="G39" s="174">
        <f t="shared" si="6"/>
        <v>0</v>
      </c>
      <c r="H39" s="174">
        <f t="shared" si="6"/>
        <v>0</v>
      </c>
      <c r="I39" s="175">
        <f>ROUND(SUM(E39:H39),2)</f>
        <v>6471.61</v>
      </c>
      <c r="K39" s="176"/>
    </row>
    <row r="40" spans="2:11" x14ac:dyDescent="0.25">
      <c r="B40" s="289">
        <v>2</v>
      </c>
      <c r="C40" s="291" t="s">
        <v>459</v>
      </c>
      <c r="D40" s="172">
        <f>D41/$D$49</f>
        <v>0.13303503938558392</v>
      </c>
      <c r="E40" s="172">
        <v>0.7</v>
      </c>
      <c r="F40" s="172">
        <v>0.3</v>
      </c>
      <c r="G40" s="172"/>
      <c r="H40" s="172"/>
      <c r="I40" s="173">
        <f>SUM(E40:H40)</f>
        <v>1</v>
      </c>
      <c r="K40" s="176"/>
    </row>
    <row r="41" spans="2:11" x14ac:dyDescent="0.25">
      <c r="B41" s="290"/>
      <c r="C41" s="292"/>
      <c r="D41" s="174">
        <f>'Planilha Orçamentária'!I123</f>
        <v>34571.350000000006</v>
      </c>
      <c r="E41" s="174">
        <f t="shared" ref="E41:H41" si="7">E40*$D41</f>
        <v>24199.945000000003</v>
      </c>
      <c r="F41" s="174">
        <f t="shared" si="7"/>
        <v>10371.405000000001</v>
      </c>
      <c r="G41" s="174">
        <f t="shared" si="7"/>
        <v>0</v>
      </c>
      <c r="H41" s="174">
        <f t="shared" si="7"/>
        <v>0</v>
      </c>
      <c r="I41" s="175">
        <f>ROUND(SUM(E41:H41),2)</f>
        <v>34571.35</v>
      </c>
      <c r="K41" s="176"/>
    </row>
    <row r="42" spans="2:11" x14ac:dyDescent="0.25">
      <c r="B42" s="289">
        <v>3</v>
      </c>
      <c r="C42" s="291" t="s">
        <v>257</v>
      </c>
      <c r="D42" s="172">
        <f>D43/$D$49</f>
        <v>0.3600025404163788</v>
      </c>
      <c r="E42" s="172"/>
      <c r="F42" s="172">
        <v>0.3</v>
      </c>
      <c r="G42" s="172">
        <v>0.7</v>
      </c>
      <c r="H42" s="172">
        <v>0</v>
      </c>
      <c r="I42" s="173">
        <f>SUM(E42:H42)</f>
        <v>1</v>
      </c>
      <c r="K42" s="176"/>
    </row>
    <row r="43" spans="2:11" x14ac:dyDescent="0.25">
      <c r="B43" s="290"/>
      <c r="C43" s="292"/>
      <c r="D43" s="174">
        <f>'Planilha Orçamentária'!I131</f>
        <v>93552.6</v>
      </c>
      <c r="E43" s="174">
        <f t="shared" ref="E43:H43" si="8">E42*$D43</f>
        <v>0</v>
      </c>
      <c r="F43" s="174">
        <f t="shared" si="8"/>
        <v>28065.780000000002</v>
      </c>
      <c r="G43" s="174">
        <f t="shared" si="8"/>
        <v>65486.82</v>
      </c>
      <c r="H43" s="174">
        <f t="shared" si="8"/>
        <v>0</v>
      </c>
      <c r="I43" s="175">
        <f>ROUND(SUM(E43:H43),2)</f>
        <v>93552.6</v>
      </c>
      <c r="K43" s="176"/>
    </row>
    <row r="44" spans="2:11" x14ac:dyDescent="0.25">
      <c r="B44" s="289">
        <v>4</v>
      </c>
      <c r="C44" s="291" t="s">
        <v>165</v>
      </c>
      <c r="D44" s="172">
        <f>D45/$D$49</f>
        <v>0.11051075645595482</v>
      </c>
      <c r="E44" s="172"/>
      <c r="F44" s="172">
        <v>0.6</v>
      </c>
      <c r="G44" s="172">
        <v>0.4</v>
      </c>
      <c r="H44" s="172">
        <v>0</v>
      </c>
      <c r="I44" s="173">
        <f>SUM(E44:H44)</f>
        <v>1</v>
      </c>
      <c r="K44" s="176"/>
    </row>
    <row r="45" spans="2:11" x14ac:dyDescent="0.25">
      <c r="B45" s="290"/>
      <c r="C45" s="292"/>
      <c r="D45" s="174">
        <f>'Planilha Orçamentária'!I137</f>
        <v>28718.043440648431</v>
      </c>
      <c r="E45" s="174">
        <f t="shared" ref="E45:H45" si="9">E44*$D45</f>
        <v>0</v>
      </c>
      <c r="F45" s="174">
        <f t="shared" si="9"/>
        <v>17230.826064389057</v>
      </c>
      <c r="G45" s="174">
        <f t="shared" si="9"/>
        <v>11487.217376259374</v>
      </c>
      <c r="H45" s="174">
        <f t="shared" si="9"/>
        <v>0</v>
      </c>
      <c r="I45" s="175">
        <f>ROUND(SUM(E45:H45),2)</f>
        <v>28718.04</v>
      </c>
      <c r="K45" s="176"/>
    </row>
    <row r="46" spans="2:11" x14ac:dyDescent="0.25">
      <c r="B46" s="289">
        <v>5</v>
      </c>
      <c r="C46" s="291" t="s">
        <v>458</v>
      </c>
      <c r="D46" s="172">
        <f>D47/$D$49</f>
        <v>0.37154808012516316</v>
      </c>
      <c r="E46" s="172"/>
      <c r="F46" s="172"/>
      <c r="G46" s="172">
        <v>0.2</v>
      </c>
      <c r="H46" s="172">
        <v>0.8</v>
      </c>
      <c r="I46" s="173">
        <f>SUM(E46:H46)</f>
        <v>1</v>
      </c>
      <c r="K46" s="176"/>
    </row>
    <row r="47" spans="2:11" x14ac:dyDescent="0.25">
      <c r="B47" s="290"/>
      <c r="C47" s="292"/>
      <c r="D47" s="174">
        <f>'Planilha Orçamentária'!I154</f>
        <v>96552.898989309237</v>
      </c>
      <c r="E47" s="174">
        <f t="shared" ref="E47:H47" si="10">E46*$D47</f>
        <v>0</v>
      </c>
      <c r="F47" s="174">
        <f t="shared" si="10"/>
        <v>0</v>
      </c>
      <c r="G47" s="174">
        <f t="shared" si="10"/>
        <v>19310.579797861847</v>
      </c>
      <c r="H47" s="174">
        <f t="shared" si="10"/>
        <v>77242.319191447386</v>
      </c>
      <c r="I47" s="175">
        <f>ROUND(SUM(E47:H47),2)</f>
        <v>96552.9</v>
      </c>
      <c r="K47" s="176"/>
    </row>
    <row r="48" spans="2:11" x14ac:dyDescent="0.25">
      <c r="B48" s="309" t="s">
        <v>263</v>
      </c>
      <c r="C48" s="310"/>
      <c r="D48" s="177">
        <f t="shared" ref="D48:H49" si="11">D46+D44+D42+D40+D38</f>
        <v>1</v>
      </c>
      <c r="E48" s="178">
        <f>E49/D49</f>
        <v>0.11802811118682806</v>
      </c>
      <c r="F48" s="178">
        <f>F49/D49</f>
        <v>0.21421772781416171</v>
      </c>
      <c r="G48" s="178">
        <f>G49/D49</f>
        <v>0.3705156968988797</v>
      </c>
      <c r="H48" s="178">
        <f>H49/D49</f>
        <v>0.2972384641001305</v>
      </c>
      <c r="I48" s="179">
        <f>I49/D49</f>
        <v>1.0000000018076771</v>
      </c>
      <c r="K48" s="176"/>
    </row>
    <row r="49" spans="2:11" x14ac:dyDescent="0.25">
      <c r="B49" s="311"/>
      <c r="C49" s="312"/>
      <c r="D49" s="182">
        <f t="shared" si="11"/>
        <v>259866.49953024526</v>
      </c>
      <c r="E49" s="180">
        <f t="shared" si="11"/>
        <v>30671.55210028759</v>
      </c>
      <c r="F49" s="180">
        <f t="shared" si="11"/>
        <v>55668.011064389058</v>
      </c>
      <c r="G49" s="180">
        <f t="shared" si="11"/>
        <v>96284.617174121217</v>
      </c>
      <c r="H49" s="180">
        <f t="shared" si="11"/>
        <v>77242.319191447386</v>
      </c>
      <c r="I49" s="181">
        <f>I47+I45+I43+I41+I39</f>
        <v>259866.5</v>
      </c>
      <c r="K49" s="176"/>
    </row>
    <row r="50" spans="2:11" x14ac:dyDescent="0.25">
      <c r="B50" s="315"/>
      <c r="C50" s="316"/>
      <c r="D50" s="316"/>
      <c r="E50" s="316"/>
      <c r="F50" s="316"/>
      <c r="G50" s="316"/>
      <c r="H50" s="316"/>
      <c r="I50" s="317"/>
      <c r="K50" s="176"/>
    </row>
    <row r="51" spans="2:11" x14ac:dyDescent="0.25">
      <c r="B51" s="309" t="s">
        <v>2</v>
      </c>
      <c r="C51" s="310"/>
      <c r="D51" s="178">
        <f>D52/(D36+D49+D23)</f>
        <v>1</v>
      </c>
      <c r="E51" s="178">
        <f>E52/$D$52</f>
        <v>0.12538177763971201</v>
      </c>
      <c r="F51" s="178">
        <f>F52/$D$52</f>
        <v>0.21962374995038195</v>
      </c>
      <c r="G51" s="178">
        <f>G52/D$52</f>
        <v>0.40151385953299495</v>
      </c>
      <c r="H51" s="178">
        <f>H52/D52</f>
        <v>0.25348061287691109</v>
      </c>
      <c r="I51" s="179">
        <f>I52/D52</f>
        <v>1</v>
      </c>
    </row>
    <row r="52" spans="2:11" x14ac:dyDescent="0.25">
      <c r="B52" s="311"/>
      <c r="C52" s="312"/>
      <c r="D52" s="180">
        <f>D11+D13+D15+D17+D19+D21+D26+D28+D30+D32+D34+D39+D41+D43+D45+D47</f>
        <v>609453.46718848171</v>
      </c>
      <c r="E52" s="180">
        <f>E36+E49+E23</f>
        <v>76414.35910477773</v>
      </c>
      <c r="F52" s="180">
        <f>F36+F49+F23</f>
        <v>133850.45588419642</v>
      </c>
      <c r="G52" s="180">
        <f>G36+G49+G23</f>
        <v>244704.0138166128</v>
      </c>
      <c r="H52" s="180">
        <f>H36+H49+H23</f>
        <v>154484.63838289477</v>
      </c>
      <c r="I52" s="181">
        <f>SUM(E52:H52)</f>
        <v>609453.46718848171</v>
      </c>
    </row>
    <row r="53" spans="2:11" ht="29.4" customHeight="1" x14ac:dyDescent="0.25">
      <c r="B53" s="183"/>
      <c r="C53" s="184"/>
      <c r="D53" s="185"/>
      <c r="E53" s="186"/>
      <c r="F53" s="186"/>
      <c r="G53" s="186"/>
      <c r="H53" s="186"/>
      <c r="I53" s="187"/>
    </row>
    <row r="54" spans="2:11" ht="22.2" customHeight="1" x14ac:dyDescent="0.25">
      <c r="B54" s="183"/>
      <c r="C54" s="184"/>
      <c r="D54" s="188"/>
      <c r="E54" s="186"/>
      <c r="F54" s="186"/>
      <c r="G54" s="186"/>
      <c r="H54" s="186"/>
      <c r="I54" s="187"/>
    </row>
    <row r="55" spans="2:11" x14ac:dyDescent="0.2">
      <c r="B55" s="189"/>
      <c r="C55" s="190" t="s">
        <v>451</v>
      </c>
      <c r="D55" s="191"/>
      <c r="E55" s="191"/>
      <c r="F55" s="191"/>
      <c r="G55" s="313" t="s">
        <v>452</v>
      </c>
      <c r="H55" s="313"/>
      <c r="I55" s="192"/>
    </row>
    <row r="56" spans="2:11" x14ac:dyDescent="0.25">
      <c r="B56" s="189"/>
      <c r="C56" s="193" t="s">
        <v>453</v>
      </c>
      <c r="D56" s="194"/>
      <c r="E56" s="195"/>
      <c r="F56" s="195"/>
      <c r="G56" s="318" t="s">
        <v>107</v>
      </c>
      <c r="H56" s="318"/>
      <c r="I56" s="192"/>
      <c r="K56" s="176"/>
    </row>
    <row r="57" spans="2:11" x14ac:dyDescent="0.25">
      <c r="B57" s="189"/>
      <c r="C57" s="193" t="s">
        <v>202</v>
      </c>
      <c r="D57" s="195"/>
      <c r="E57" s="195"/>
      <c r="F57" s="195"/>
      <c r="G57" s="313" t="s">
        <v>109</v>
      </c>
      <c r="H57" s="313"/>
      <c r="I57" s="192"/>
    </row>
    <row r="58" spans="2:11" x14ac:dyDescent="0.25">
      <c r="B58" s="189"/>
      <c r="C58" s="196" t="s">
        <v>250</v>
      </c>
      <c r="D58" s="314"/>
      <c r="E58" s="314"/>
      <c r="F58" s="314"/>
      <c r="G58" s="314"/>
      <c r="H58" s="197"/>
      <c r="I58" s="192"/>
    </row>
    <row r="59" spans="2:11" x14ac:dyDescent="0.25">
      <c r="B59" s="189"/>
      <c r="D59" s="40"/>
      <c r="E59" s="40"/>
      <c r="F59" s="40"/>
      <c r="G59" s="40"/>
      <c r="H59" s="40"/>
      <c r="I59" s="192"/>
    </row>
    <row r="60" spans="2:11" x14ac:dyDescent="0.25">
      <c r="B60" s="189"/>
      <c r="D60" s="40"/>
      <c r="E60" s="40"/>
      <c r="F60" s="40"/>
      <c r="G60" s="40"/>
      <c r="H60" s="40"/>
      <c r="I60" s="192"/>
    </row>
    <row r="61" spans="2:11" ht="13.8" thickBot="1" x14ac:dyDescent="0.3">
      <c r="B61" s="199"/>
      <c r="C61" s="200"/>
      <c r="D61" s="201"/>
      <c r="E61" s="201"/>
      <c r="F61" s="201"/>
      <c r="G61" s="201"/>
      <c r="H61" s="201"/>
      <c r="I61" s="202"/>
      <c r="K61" s="176"/>
    </row>
    <row r="62" spans="2:11" x14ac:dyDescent="0.25">
      <c r="K62" s="176"/>
    </row>
  </sheetData>
  <mergeCells count="50">
    <mergeCell ref="G56:H56"/>
    <mergeCell ref="C42:C43"/>
    <mergeCell ref="B35:C36"/>
    <mergeCell ref="B37:I37"/>
    <mergeCell ref="B31:B32"/>
    <mergeCell ref="C31:C32"/>
    <mergeCell ref="B33:B34"/>
    <mergeCell ref="C33:C34"/>
    <mergeCell ref="G57:H57"/>
    <mergeCell ref="D58:G58"/>
    <mergeCell ref="B24:I24"/>
    <mergeCell ref="B44:B45"/>
    <mergeCell ref="C44:C45"/>
    <mergeCell ref="B46:B47"/>
    <mergeCell ref="C46:C47"/>
    <mergeCell ref="B48:C49"/>
    <mergeCell ref="B50:I50"/>
    <mergeCell ref="B38:B39"/>
    <mergeCell ref="C38:C39"/>
    <mergeCell ref="B40:B41"/>
    <mergeCell ref="C40:C41"/>
    <mergeCell ref="B42:B43"/>
    <mergeCell ref="B51:C52"/>
    <mergeCell ref="G55:H55"/>
    <mergeCell ref="C27:C28"/>
    <mergeCell ref="B29:B30"/>
    <mergeCell ref="C29:C30"/>
    <mergeCell ref="B16:B17"/>
    <mergeCell ref="C16:C17"/>
    <mergeCell ref="B18:B19"/>
    <mergeCell ref="C18:C19"/>
    <mergeCell ref="B20:B21"/>
    <mergeCell ref="C20:C21"/>
    <mergeCell ref="B22:C23"/>
    <mergeCell ref="B25:B26"/>
    <mergeCell ref="C25:C26"/>
    <mergeCell ref="B27:B28"/>
    <mergeCell ref="B14:B15"/>
    <mergeCell ref="C14:C15"/>
    <mergeCell ref="C1:I1"/>
    <mergeCell ref="B3:I3"/>
    <mergeCell ref="B5:I5"/>
    <mergeCell ref="B6:C6"/>
    <mergeCell ref="H6:I6"/>
    <mergeCell ref="B7:C7"/>
    <mergeCell ref="B9:I9"/>
    <mergeCell ref="B10:B11"/>
    <mergeCell ref="C10:C11"/>
    <mergeCell ref="B12:B13"/>
    <mergeCell ref="C12:C13"/>
  </mergeCells>
  <printOptions horizontalCentered="1"/>
  <pageMargins left="0.78740157480314965" right="0.59055118110236227" top="1.5748031496062993" bottom="0.78740157480314965" header="0.31496062992125984" footer="0.31496062992125984"/>
  <pageSetup paperSize="9" scale="49" orientation="landscape" horizontalDpi="4294967292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C537-A898-40A9-85C3-D9E35DFBE974}">
  <sheetPr>
    <pageSetUpPr fitToPage="1"/>
  </sheetPr>
  <dimension ref="A1:L193"/>
  <sheetViews>
    <sheetView showGridLines="0" tabSelected="1" topLeftCell="A5" zoomScale="80" zoomScaleNormal="80" zoomScalePageLayoutView="80" workbookViewId="0">
      <selection activeCell="N10" sqref="N10"/>
    </sheetView>
  </sheetViews>
  <sheetFormatPr defaultRowHeight="14.4" x14ac:dyDescent="0.3"/>
  <cols>
    <col min="1" max="1" width="9" style="3" customWidth="1"/>
    <col min="2" max="2" width="85.5546875" style="3" customWidth="1"/>
    <col min="3" max="3" width="8" style="3" customWidth="1"/>
    <col min="4" max="4" width="12.44140625" style="3" customWidth="1"/>
    <col min="5" max="5" width="13.6640625" style="3" customWidth="1"/>
    <col min="6" max="6" width="15.6640625" style="3" customWidth="1"/>
    <col min="7" max="7" width="13.6640625" style="3" customWidth="1"/>
    <col min="8" max="8" width="15.6640625" style="3" customWidth="1"/>
    <col min="9" max="9" width="14.21875" style="2" customWidth="1"/>
    <col min="10" max="10" width="18.109375" style="3" customWidth="1"/>
    <col min="11" max="11" width="8.88671875" style="1"/>
  </cols>
  <sheetData>
    <row r="1" spans="1:11" s="6" customFormat="1" ht="15" customHeight="1" x14ac:dyDescent="0.25">
      <c r="A1" s="328" t="s">
        <v>95</v>
      </c>
      <c r="B1" s="329"/>
      <c r="C1" s="329"/>
      <c r="D1" s="329"/>
      <c r="E1" s="329"/>
      <c r="F1" s="329"/>
      <c r="G1" s="329"/>
      <c r="H1" s="330"/>
      <c r="I1" s="7"/>
      <c r="J1" s="4"/>
      <c r="K1" s="5"/>
    </row>
    <row r="2" spans="1:11" s="6" customFormat="1" ht="23.4" customHeight="1" thickBot="1" x14ac:dyDescent="0.3">
      <c r="A2" s="331"/>
      <c r="B2" s="332"/>
      <c r="C2" s="332"/>
      <c r="D2" s="332"/>
      <c r="E2" s="332"/>
      <c r="F2" s="332"/>
      <c r="G2" s="332"/>
      <c r="H2" s="333"/>
      <c r="I2" s="7"/>
      <c r="J2" s="4"/>
      <c r="K2" s="5"/>
    </row>
    <row r="3" spans="1:11" s="6" customFormat="1" ht="25.2" customHeight="1" x14ac:dyDescent="0.25">
      <c r="A3" s="338" t="s">
        <v>21</v>
      </c>
      <c r="B3" s="339"/>
      <c r="C3" s="339"/>
      <c r="D3" s="339"/>
      <c r="E3" s="339"/>
      <c r="F3" s="339"/>
      <c r="G3" s="339"/>
      <c r="H3" s="340"/>
      <c r="I3" s="7"/>
      <c r="J3" s="4"/>
      <c r="K3" s="5"/>
    </row>
    <row r="4" spans="1:11" s="6" customFormat="1" ht="10.199999999999999" customHeight="1" thickBot="1" x14ac:dyDescent="0.3">
      <c r="A4" s="341"/>
      <c r="B4" s="342"/>
      <c r="C4" s="342"/>
      <c r="D4" s="342"/>
      <c r="E4" s="342"/>
      <c r="F4" s="342"/>
      <c r="G4" s="342"/>
      <c r="H4" s="343"/>
      <c r="I4" s="7"/>
      <c r="J4" s="4"/>
      <c r="K4" s="5"/>
    </row>
    <row r="5" spans="1:11" s="6" customFormat="1" ht="15" customHeight="1" x14ac:dyDescent="0.25">
      <c r="A5" s="344" t="s">
        <v>110</v>
      </c>
      <c r="B5" s="345"/>
      <c r="C5" s="345"/>
      <c r="D5" s="345"/>
      <c r="E5" s="345"/>
      <c r="F5" s="345"/>
      <c r="G5" s="345"/>
      <c r="H5" s="346"/>
      <c r="I5" s="7"/>
      <c r="J5" s="4"/>
      <c r="K5" s="5"/>
    </row>
    <row r="6" spans="1:11" s="6" customFormat="1" ht="31.2" customHeight="1" x14ac:dyDescent="0.25">
      <c r="A6" s="347" t="s">
        <v>465</v>
      </c>
      <c r="B6" s="348"/>
      <c r="C6" s="348"/>
      <c r="D6" s="348"/>
      <c r="E6" s="348"/>
      <c r="F6" s="348"/>
      <c r="G6" s="348"/>
      <c r="H6" s="349"/>
      <c r="I6" s="7"/>
      <c r="J6" s="4"/>
      <c r="K6" s="5"/>
    </row>
    <row r="7" spans="1:11" s="6" customFormat="1" ht="15" customHeight="1" x14ac:dyDescent="0.25">
      <c r="A7" s="350" t="s">
        <v>249</v>
      </c>
      <c r="B7" s="351"/>
      <c r="C7" s="351"/>
      <c r="D7" s="351"/>
      <c r="E7" s="351"/>
      <c r="F7" s="351"/>
      <c r="G7" s="351"/>
      <c r="H7" s="352"/>
      <c r="I7" s="7"/>
    </row>
    <row r="8" spans="1:11" s="6" customFormat="1" ht="15" customHeight="1" x14ac:dyDescent="0.25">
      <c r="A8" s="353" t="s">
        <v>464</v>
      </c>
      <c r="B8" s="284"/>
      <c r="C8" s="284"/>
      <c r="D8" s="284"/>
      <c r="E8" s="284"/>
      <c r="F8" s="284"/>
      <c r="G8" s="284"/>
      <c r="H8" s="354"/>
      <c r="I8" s="7"/>
    </row>
    <row r="9" spans="1:11" s="6" customFormat="1" ht="15.75" customHeight="1" x14ac:dyDescent="0.25">
      <c r="A9" s="98"/>
      <c r="B9" s="99"/>
      <c r="C9" s="99"/>
      <c r="D9" s="99"/>
      <c r="E9" s="99"/>
      <c r="F9" s="99"/>
      <c r="G9" s="99"/>
      <c r="H9" s="101"/>
      <c r="I9" s="7"/>
    </row>
    <row r="10" spans="1:11" s="6" customFormat="1" ht="15" customHeight="1" thickBot="1" x14ac:dyDescent="0.3">
      <c r="A10" s="355" t="s">
        <v>420</v>
      </c>
      <c r="B10" s="356"/>
      <c r="C10" s="356"/>
      <c r="D10" s="356"/>
      <c r="E10" s="356"/>
      <c r="F10" s="356"/>
      <c r="G10" s="356"/>
      <c r="H10" s="357"/>
      <c r="I10" s="7"/>
    </row>
    <row r="11" spans="1:11" s="6" customFormat="1" ht="15" customHeight="1" thickBot="1" x14ac:dyDescent="0.3">
      <c r="A11" s="358" t="s">
        <v>13</v>
      </c>
      <c r="B11" s="225"/>
      <c r="C11" s="225"/>
      <c r="D11" s="225"/>
      <c r="E11" s="225"/>
      <c r="F11" s="225"/>
      <c r="G11" s="225"/>
      <c r="H11" s="226"/>
      <c r="I11" s="7"/>
    </row>
    <row r="12" spans="1:11" s="6" customFormat="1" ht="15" customHeight="1" x14ac:dyDescent="0.25">
      <c r="A12" s="359" t="s">
        <v>0</v>
      </c>
      <c r="B12" s="230" t="s">
        <v>12</v>
      </c>
      <c r="C12" s="230" t="s">
        <v>1</v>
      </c>
      <c r="D12" s="360" t="s">
        <v>19</v>
      </c>
      <c r="E12" s="334"/>
      <c r="F12" s="334"/>
      <c r="G12" s="334"/>
      <c r="H12" s="335"/>
      <c r="I12" s="7"/>
    </row>
    <row r="13" spans="1:11" s="6" customFormat="1" ht="13.2" customHeight="1" thickBot="1" x14ac:dyDescent="0.3">
      <c r="A13" s="228"/>
      <c r="B13" s="231"/>
      <c r="C13" s="231"/>
      <c r="D13" s="361"/>
      <c r="E13" s="336"/>
      <c r="F13" s="336"/>
      <c r="G13" s="336"/>
      <c r="H13" s="337"/>
      <c r="I13" s="7"/>
    </row>
    <row r="14" spans="1:11" s="6" customFormat="1" ht="13.2" customHeight="1" thickBot="1" x14ac:dyDescent="0.3">
      <c r="A14" s="325" t="s">
        <v>252</v>
      </c>
      <c r="B14" s="326"/>
      <c r="C14" s="326"/>
      <c r="D14" s="326"/>
      <c r="E14" s="326"/>
      <c r="F14" s="326"/>
      <c r="G14" s="326"/>
      <c r="H14" s="327"/>
      <c r="I14" s="7"/>
    </row>
    <row r="15" spans="1:11" s="6" customFormat="1" ht="15" customHeight="1" x14ac:dyDescent="0.25">
      <c r="A15" s="102" t="s">
        <v>46</v>
      </c>
      <c r="B15" s="44" t="s">
        <v>44</v>
      </c>
      <c r="C15" s="43"/>
      <c r="D15" s="104"/>
      <c r="E15" s="322"/>
      <c r="F15" s="323"/>
      <c r="G15" s="323"/>
      <c r="H15" s="324"/>
      <c r="I15" s="7"/>
    </row>
    <row r="16" spans="1:11" s="6" customFormat="1" ht="72" customHeight="1" x14ac:dyDescent="0.25">
      <c r="A16" s="20" t="s">
        <v>47</v>
      </c>
      <c r="B16" s="34" t="s">
        <v>97</v>
      </c>
      <c r="C16" s="21" t="s">
        <v>70</v>
      </c>
      <c r="D16" s="50">
        <v>1</v>
      </c>
      <c r="E16" s="319" t="s">
        <v>191</v>
      </c>
      <c r="F16" s="320"/>
      <c r="G16" s="320"/>
      <c r="H16" s="321"/>
      <c r="I16" s="7"/>
    </row>
    <row r="17" spans="1:12" s="6" customFormat="1" ht="61.8" customHeight="1" x14ac:dyDescent="0.25">
      <c r="A17" s="20" t="s">
        <v>96</v>
      </c>
      <c r="B17" s="34" t="s">
        <v>187</v>
      </c>
      <c r="C17" s="21" t="s">
        <v>73</v>
      </c>
      <c r="D17" s="50">
        <v>18.5</v>
      </c>
      <c r="E17" s="319" t="s">
        <v>237</v>
      </c>
      <c r="F17" s="320"/>
      <c r="G17" s="320"/>
      <c r="H17" s="321"/>
      <c r="I17" s="7"/>
    </row>
    <row r="18" spans="1:12" s="6" customFormat="1" ht="31.2" customHeight="1" x14ac:dyDescent="0.25">
      <c r="A18" s="20" t="s">
        <v>199</v>
      </c>
      <c r="B18" s="34" t="s">
        <v>238</v>
      </c>
      <c r="C18" s="21" t="s">
        <v>71</v>
      </c>
      <c r="D18" s="50">
        <v>7.67</v>
      </c>
      <c r="E18" s="319" t="s">
        <v>239</v>
      </c>
      <c r="F18" s="320"/>
      <c r="G18" s="320"/>
      <c r="H18" s="321"/>
      <c r="I18" s="7"/>
    </row>
    <row r="19" spans="1:12" s="6" customFormat="1" ht="46.2" customHeight="1" x14ac:dyDescent="0.25">
      <c r="A19" s="20" t="s">
        <v>209</v>
      </c>
      <c r="B19" s="34" t="s">
        <v>201</v>
      </c>
      <c r="C19" s="21" t="s">
        <v>71</v>
      </c>
      <c r="D19" s="50">
        <v>7.67</v>
      </c>
      <c r="E19" s="319" t="s">
        <v>239</v>
      </c>
      <c r="F19" s="320"/>
      <c r="G19" s="320"/>
      <c r="H19" s="321"/>
      <c r="I19" s="7"/>
    </row>
    <row r="20" spans="1:12" s="6" customFormat="1" ht="15" customHeight="1" x14ac:dyDescent="0.25">
      <c r="A20" s="94" t="s">
        <v>51</v>
      </c>
      <c r="B20" s="33" t="s">
        <v>113</v>
      </c>
      <c r="C20" s="21"/>
      <c r="D20" s="50"/>
      <c r="E20" s="319"/>
      <c r="F20" s="320"/>
      <c r="G20" s="320"/>
      <c r="H20" s="321"/>
      <c r="I20" s="7"/>
    </row>
    <row r="21" spans="1:12" s="6" customFormat="1" ht="36.75" customHeight="1" x14ac:dyDescent="0.25">
      <c r="A21" s="20" t="s">
        <v>52</v>
      </c>
      <c r="B21" s="34" t="s">
        <v>235</v>
      </c>
      <c r="C21" s="21" t="s">
        <v>71</v>
      </c>
      <c r="D21" s="50">
        <v>1.92</v>
      </c>
      <c r="E21" s="319" t="s">
        <v>240</v>
      </c>
      <c r="F21" s="320"/>
      <c r="G21" s="320"/>
      <c r="H21" s="321"/>
      <c r="I21" s="7"/>
      <c r="K21" s="75" t="s">
        <v>155</v>
      </c>
    </row>
    <row r="22" spans="1:12" s="6" customFormat="1" ht="58.2" customHeight="1" x14ac:dyDescent="0.25">
      <c r="A22" s="20" t="s">
        <v>53</v>
      </c>
      <c r="B22" s="34" t="s">
        <v>204</v>
      </c>
      <c r="C22" s="21" t="s">
        <v>72</v>
      </c>
      <c r="D22" s="50">
        <v>38.35</v>
      </c>
      <c r="E22" s="319" t="s">
        <v>241</v>
      </c>
      <c r="F22" s="320"/>
      <c r="G22" s="320"/>
      <c r="H22" s="321"/>
      <c r="I22" s="7"/>
    </row>
    <row r="23" spans="1:12" s="6" customFormat="1" ht="15" customHeight="1" x14ac:dyDescent="0.25">
      <c r="A23" s="94" t="s">
        <v>57</v>
      </c>
      <c r="B23" s="33" t="s">
        <v>111</v>
      </c>
      <c r="C23" s="21"/>
      <c r="D23" s="50"/>
      <c r="E23" s="319"/>
      <c r="F23" s="320"/>
      <c r="G23" s="320"/>
      <c r="H23" s="321"/>
      <c r="I23" s="7"/>
      <c r="J23" s="4"/>
      <c r="K23" s="5"/>
    </row>
    <row r="24" spans="1:12" s="6" customFormat="1" ht="44.4" customHeight="1" x14ac:dyDescent="0.25">
      <c r="A24" s="20" t="s">
        <v>58</v>
      </c>
      <c r="B24" s="34" t="s">
        <v>156</v>
      </c>
      <c r="C24" s="21" t="s">
        <v>70</v>
      </c>
      <c r="D24" s="50">
        <v>1</v>
      </c>
      <c r="E24" s="319" t="s">
        <v>191</v>
      </c>
      <c r="F24" s="320"/>
      <c r="G24" s="320"/>
      <c r="H24" s="321"/>
      <c r="I24" s="7"/>
      <c r="J24" s="4"/>
      <c r="K24" s="5"/>
    </row>
    <row r="25" spans="1:12" s="6" customFormat="1" ht="59.4" customHeight="1" x14ac:dyDescent="0.25">
      <c r="A25" s="20" t="s">
        <v>59</v>
      </c>
      <c r="B25" s="34" t="s">
        <v>158</v>
      </c>
      <c r="C25" s="21" t="s">
        <v>70</v>
      </c>
      <c r="D25" s="50">
        <v>1</v>
      </c>
      <c r="E25" s="319" t="s">
        <v>191</v>
      </c>
      <c r="F25" s="320"/>
      <c r="G25" s="320"/>
      <c r="H25" s="321"/>
      <c r="I25" s="7"/>
      <c r="J25" s="4"/>
      <c r="K25" s="5"/>
    </row>
    <row r="26" spans="1:12" s="6" customFormat="1" ht="31.8" customHeight="1" x14ac:dyDescent="0.25">
      <c r="A26" s="20" t="s">
        <v>159</v>
      </c>
      <c r="B26" s="34" t="s">
        <v>242</v>
      </c>
      <c r="C26" s="21" t="s">
        <v>70</v>
      </c>
      <c r="D26" s="50">
        <v>5</v>
      </c>
      <c r="E26" s="319" t="s">
        <v>243</v>
      </c>
      <c r="F26" s="320"/>
      <c r="G26" s="320"/>
      <c r="H26" s="321"/>
      <c r="I26" s="7"/>
      <c r="J26" s="4"/>
      <c r="K26" s="5"/>
    </row>
    <row r="27" spans="1:12" s="6" customFormat="1" ht="22.2" customHeight="1" x14ac:dyDescent="0.25">
      <c r="A27" s="20" t="s">
        <v>160</v>
      </c>
      <c r="B27" s="34" t="s">
        <v>244</v>
      </c>
      <c r="C27" s="21" t="s">
        <v>70</v>
      </c>
      <c r="D27" s="50">
        <v>1</v>
      </c>
      <c r="E27" s="319" t="s">
        <v>245</v>
      </c>
      <c r="F27" s="320"/>
      <c r="G27" s="320"/>
      <c r="H27" s="321"/>
      <c r="I27" s="7"/>
      <c r="J27" s="4"/>
      <c r="K27" s="5"/>
    </row>
    <row r="28" spans="1:12" s="6" customFormat="1" ht="22.2" customHeight="1" x14ac:dyDescent="0.25">
      <c r="A28" s="20" t="s">
        <v>161</v>
      </c>
      <c r="B28" s="34" t="s">
        <v>226</v>
      </c>
      <c r="C28" s="21" t="s">
        <v>70</v>
      </c>
      <c r="D28" s="50">
        <v>1</v>
      </c>
      <c r="E28" s="319" t="s">
        <v>245</v>
      </c>
      <c r="F28" s="320"/>
      <c r="G28" s="320"/>
      <c r="H28" s="321"/>
      <c r="I28" s="7"/>
      <c r="J28" s="4"/>
      <c r="K28" s="5"/>
    </row>
    <row r="29" spans="1:12" s="6" customFormat="1" ht="21" customHeight="1" x14ac:dyDescent="0.25">
      <c r="A29" s="20" t="s">
        <v>178</v>
      </c>
      <c r="B29" s="34" t="s">
        <v>176</v>
      </c>
      <c r="C29" s="21" t="s">
        <v>70</v>
      </c>
      <c r="D29" s="50">
        <v>6</v>
      </c>
      <c r="E29" s="319" t="s">
        <v>246</v>
      </c>
      <c r="F29" s="320"/>
      <c r="G29" s="320"/>
      <c r="H29" s="321"/>
      <c r="I29" s="7"/>
      <c r="J29" s="23"/>
      <c r="K29" s="5"/>
    </row>
    <row r="30" spans="1:12" s="6" customFormat="1" ht="15.6" customHeight="1" x14ac:dyDescent="0.25">
      <c r="A30" s="94" t="s">
        <v>62</v>
      </c>
      <c r="B30" s="33" t="s">
        <v>165</v>
      </c>
      <c r="C30" s="21"/>
      <c r="D30" s="50"/>
      <c r="E30" s="319"/>
      <c r="F30" s="320"/>
      <c r="G30" s="320"/>
      <c r="H30" s="321"/>
      <c r="I30" s="7"/>
      <c r="J30" s="4"/>
      <c r="K30" s="5"/>
    </row>
    <row r="31" spans="1:12" s="6" customFormat="1" ht="44.4" customHeight="1" x14ac:dyDescent="0.25">
      <c r="A31" s="20" t="s">
        <v>63</v>
      </c>
      <c r="B31" s="34" t="s">
        <v>232</v>
      </c>
      <c r="C31" s="21" t="s">
        <v>72</v>
      </c>
      <c r="D31" s="50">
        <v>41.52</v>
      </c>
      <c r="E31" s="319" t="s">
        <v>231</v>
      </c>
      <c r="F31" s="320"/>
      <c r="G31" s="320"/>
      <c r="H31" s="321"/>
      <c r="I31" s="7"/>
      <c r="J31" s="4"/>
      <c r="K31" s="5"/>
    </row>
    <row r="32" spans="1:12" s="6" customFormat="1" ht="34.799999999999997" customHeight="1" x14ac:dyDescent="0.25">
      <c r="A32" s="20" t="s">
        <v>75</v>
      </c>
      <c r="B32" s="34" t="s">
        <v>164</v>
      </c>
      <c r="C32" s="21" t="s">
        <v>72</v>
      </c>
      <c r="D32" s="50">
        <v>41.52</v>
      </c>
      <c r="E32" s="319" t="s">
        <v>231</v>
      </c>
      <c r="F32" s="320"/>
      <c r="G32" s="320"/>
      <c r="H32" s="321"/>
      <c r="I32" s="7" t="s">
        <v>166</v>
      </c>
      <c r="J32" s="96">
        <f>(((4*4)*1.73)/4)*6</f>
        <v>41.519999999999996</v>
      </c>
      <c r="K32" s="5"/>
      <c r="L32" s="100" t="s">
        <v>192</v>
      </c>
    </row>
    <row r="33" spans="1:11" s="6" customFormat="1" ht="46.8" customHeight="1" x14ac:dyDescent="0.25">
      <c r="A33" s="20" t="s">
        <v>170</v>
      </c>
      <c r="B33" s="34" t="s">
        <v>186</v>
      </c>
      <c r="C33" s="21" t="s">
        <v>73</v>
      </c>
      <c r="D33" s="50">
        <v>24</v>
      </c>
      <c r="E33" s="319" t="s">
        <v>230</v>
      </c>
      <c r="F33" s="320"/>
      <c r="G33" s="320"/>
      <c r="H33" s="321"/>
      <c r="I33" s="7">
        <f>4*6</f>
        <v>24</v>
      </c>
      <c r="J33" s="96"/>
      <c r="K33" s="5"/>
    </row>
    <row r="34" spans="1:11" s="6" customFormat="1" ht="33" customHeight="1" x14ac:dyDescent="0.25">
      <c r="A34" s="20" t="s">
        <v>171</v>
      </c>
      <c r="B34" s="34" t="s">
        <v>210</v>
      </c>
      <c r="C34" s="21" t="s">
        <v>73</v>
      </c>
      <c r="D34" s="50">
        <v>21</v>
      </c>
      <c r="E34" s="319" t="s">
        <v>193</v>
      </c>
      <c r="F34" s="320"/>
      <c r="G34" s="320"/>
      <c r="H34" s="321"/>
      <c r="I34" s="7"/>
      <c r="J34" s="4"/>
      <c r="K34" s="5"/>
    </row>
    <row r="35" spans="1:11" s="6" customFormat="1" ht="33" customHeight="1" x14ac:dyDescent="0.25">
      <c r="A35" s="20" t="s">
        <v>184</v>
      </c>
      <c r="B35" s="34" t="s">
        <v>212</v>
      </c>
      <c r="C35" s="21" t="s">
        <v>70</v>
      </c>
      <c r="D35" s="50">
        <v>1</v>
      </c>
      <c r="E35" s="319" t="s">
        <v>233</v>
      </c>
      <c r="F35" s="320"/>
      <c r="G35" s="320"/>
      <c r="H35" s="321"/>
      <c r="I35" s="7"/>
      <c r="J35" s="4"/>
      <c r="K35" s="5"/>
    </row>
    <row r="36" spans="1:11" s="6" customFormat="1" ht="22.2" customHeight="1" x14ac:dyDescent="0.25">
      <c r="A36" s="20" t="s">
        <v>185</v>
      </c>
      <c r="B36" s="34" t="s">
        <v>179</v>
      </c>
      <c r="C36" s="21" t="s">
        <v>71</v>
      </c>
      <c r="D36" s="50">
        <v>0.75</v>
      </c>
      <c r="E36" s="319" t="s">
        <v>194</v>
      </c>
      <c r="F36" s="320"/>
      <c r="G36" s="320"/>
      <c r="H36" s="321"/>
      <c r="I36" s="7" t="s">
        <v>181</v>
      </c>
      <c r="J36" s="4">
        <f>(0.5*0.5)*0.5</f>
        <v>0.125</v>
      </c>
      <c r="K36" s="5">
        <f>J36*6</f>
        <v>0.75</v>
      </c>
    </row>
    <row r="37" spans="1:11" s="6" customFormat="1" ht="45" customHeight="1" x14ac:dyDescent="0.25">
      <c r="A37" s="20" t="s">
        <v>208</v>
      </c>
      <c r="B37" s="34" t="s">
        <v>182</v>
      </c>
      <c r="C37" s="21" t="s">
        <v>71</v>
      </c>
      <c r="D37" s="50">
        <v>0.75</v>
      </c>
      <c r="E37" s="319" t="s">
        <v>194</v>
      </c>
      <c r="F37" s="320"/>
      <c r="G37" s="320"/>
      <c r="H37" s="321"/>
      <c r="I37" s="7"/>
      <c r="J37" s="4"/>
      <c r="K37" s="5"/>
    </row>
    <row r="38" spans="1:11" s="6" customFormat="1" ht="45" customHeight="1" x14ac:dyDescent="0.25">
      <c r="A38" s="20" t="s">
        <v>213</v>
      </c>
      <c r="B38" s="34" t="s">
        <v>206</v>
      </c>
      <c r="C38" s="21" t="s">
        <v>71</v>
      </c>
      <c r="D38" s="50">
        <v>0.74</v>
      </c>
      <c r="E38" s="319" t="s">
        <v>234</v>
      </c>
      <c r="F38" s="320"/>
      <c r="G38" s="320"/>
      <c r="H38" s="321"/>
      <c r="I38" s="7">
        <f>(3.7  * 5) * 0.2 * 0.2</f>
        <v>0.7400000000000001</v>
      </c>
      <c r="J38" s="4"/>
      <c r="K38" s="5"/>
    </row>
    <row r="39" spans="1:11" s="6" customFormat="1" ht="15" customHeight="1" x14ac:dyDescent="0.25">
      <c r="A39" s="94" t="s">
        <v>67</v>
      </c>
      <c r="B39" s="33" t="s">
        <v>112</v>
      </c>
      <c r="C39" s="21"/>
      <c r="D39" s="50"/>
      <c r="E39" s="319"/>
      <c r="F39" s="320"/>
      <c r="G39" s="320"/>
      <c r="H39" s="321"/>
      <c r="I39" s="7"/>
      <c r="J39" s="4"/>
      <c r="K39" s="5"/>
    </row>
    <row r="40" spans="1:11" s="6" customFormat="1" ht="51.6" customHeight="1" x14ac:dyDescent="0.25">
      <c r="A40" s="20" t="s">
        <v>68</v>
      </c>
      <c r="B40" s="34" t="s">
        <v>214</v>
      </c>
      <c r="C40" s="21" t="s">
        <v>72</v>
      </c>
      <c r="D40" s="50">
        <v>9.9</v>
      </c>
      <c r="E40" s="319" t="s">
        <v>247</v>
      </c>
      <c r="F40" s="320"/>
      <c r="G40" s="320"/>
      <c r="H40" s="321"/>
      <c r="I40" s="7"/>
      <c r="J40" s="4"/>
      <c r="K40" s="5"/>
    </row>
    <row r="41" spans="1:11" s="6" customFormat="1" ht="49.2" customHeight="1" x14ac:dyDescent="0.25">
      <c r="A41" s="20" t="s">
        <v>69</v>
      </c>
      <c r="B41" s="34" t="s">
        <v>218</v>
      </c>
      <c r="C41" s="21" t="s">
        <v>72</v>
      </c>
      <c r="D41" s="50">
        <v>24.24</v>
      </c>
      <c r="E41" s="319" t="s">
        <v>248</v>
      </c>
      <c r="F41" s="320"/>
      <c r="G41" s="320"/>
      <c r="H41" s="321"/>
      <c r="I41" s="7"/>
      <c r="J41" s="4"/>
      <c r="K41" s="5"/>
    </row>
    <row r="42" spans="1:11" s="6" customFormat="1" ht="47.4" customHeight="1" x14ac:dyDescent="0.25">
      <c r="A42" s="20" t="s">
        <v>84</v>
      </c>
      <c r="B42" s="34" t="s">
        <v>216</v>
      </c>
      <c r="C42" s="21" t="s">
        <v>72</v>
      </c>
      <c r="D42" s="50">
        <v>24.24</v>
      </c>
      <c r="E42" s="319" t="s">
        <v>248</v>
      </c>
      <c r="F42" s="320"/>
      <c r="G42" s="320"/>
      <c r="H42" s="321"/>
      <c r="I42" s="7"/>
      <c r="J42" s="4"/>
      <c r="K42" s="5"/>
    </row>
    <row r="43" spans="1:11" s="6" customFormat="1" ht="43.8" customHeight="1" x14ac:dyDescent="0.25">
      <c r="A43" s="20" t="s">
        <v>162</v>
      </c>
      <c r="B43" s="34" t="s">
        <v>222</v>
      </c>
      <c r="C43" s="21" t="s">
        <v>72</v>
      </c>
      <c r="D43" s="50">
        <v>24.24</v>
      </c>
      <c r="E43" s="319" t="s">
        <v>248</v>
      </c>
      <c r="F43" s="320"/>
      <c r="G43" s="320"/>
      <c r="H43" s="321"/>
      <c r="I43" s="7"/>
      <c r="J43" s="4"/>
      <c r="K43" s="5"/>
    </row>
    <row r="44" spans="1:11" s="6" customFormat="1" ht="31.2" customHeight="1" x14ac:dyDescent="0.25">
      <c r="A44" s="20" t="s">
        <v>168</v>
      </c>
      <c r="B44" s="34" t="s">
        <v>220</v>
      </c>
      <c r="C44" s="21" t="s">
        <v>72</v>
      </c>
      <c r="D44" s="50">
        <v>24.24</v>
      </c>
      <c r="E44" s="319" t="s">
        <v>248</v>
      </c>
      <c r="F44" s="320"/>
      <c r="G44" s="320"/>
      <c r="H44" s="321"/>
      <c r="I44" s="7"/>
      <c r="J44" s="4"/>
      <c r="K44" s="5"/>
    </row>
    <row r="45" spans="1:11" s="6" customFormat="1" ht="31.2" customHeight="1" x14ac:dyDescent="0.25">
      <c r="A45" s="20" t="s">
        <v>163</v>
      </c>
      <c r="B45" s="34" t="s">
        <v>224</v>
      </c>
      <c r="C45" s="21" t="s">
        <v>72</v>
      </c>
      <c r="D45" s="50">
        <v>38.35</v>
      </c>
      <c r="E45" s="319" t="s">
        <v>251</v>
      </c>
      <c r="F45" s="320"/>
      <c r="G45" s="320"/>
      <c r="H45" s="321"/>
      <c r="I45" s="7"/>
      <c r="J45" s="4"/>
      <c r="K45" s="5"/>
    </row>
    <row r="46" spans="1:11" s="6" customFormat="1" ht="31.2" customHeight="1" x14ac:dyDescent="0.25">
      <c r="A46" s="20" t="s">
        <v>169</v>
      </c>
      <c r="B46" s="34" t="s">
        <v>154</v>
      </c>
      <c r="C46" s="21" t="s">
        <v>70</v>
      </c>
      <c r="D46" s="50">
        <v>2</v>
      </c>
      <c r="E46" s="319" t="s">
        <v>195</v>
      </c>
      <c r="F46" s="320"/>
      <c r="G46" s="320"/>
      <c r="H46" s="321"/>
      <c r="I46" s="7"/>
      <c r="J46" s="4"/>
      <c r="K46" s="5"/>
    </row>
    <row r="47" spans="1:11" s="6" customFormat="1" ht="31.2" customHeight="1" x14ac:dyDescent="0.25">
      <c r="A47" s="94" t="s">
        <v>253</v>
      </c>
      <c r="B47" s="33" t="s">
        <v>421</v>
      </c>
      <c r="C47" s="21"/>
      <c r="D47" s="50"/>
      <c r="E47" s="319"/>
      <c r="F47" s="320"/>
      <c r="G47" s="320"/>
      <c r="H47" s="321"/>
      <c r="I47" s="7"/>
      <c r="J47" s="4"/>
      <c r="K47" s="5"/>
    </row>
    <row r="48" spans="1:11" s="6" customFormat="1" ht="37.799999999999997" customHeight="1" x14ac:dyDescent="0.25">
      <c r="A48" s="20" t="s">
        <v>265</v>
      </c>
      <c r="B48" s="34" t="str">
        <f>'Planilha Orçamentária'!C50</f>
        <v>ESCAVAÇÃO MANUAL DE VALA PARA VIGA BALDRAME (INCLUINDO ESCAVAÇÃO PARA COLOCAÇÃO DE FÔRMAS). AF_06/2017</v>
      </c>
      <c r="C48" s="21" t="str">
        <f>'Planilha Orçamentária'!D50</f>
        <v>M3</v>
      </c>
      <c r="D48" s="50">
        <f>57*0.1*0.15</f>
        <v>0.85499999999999998</v>
      </c>
      <c r="E48" s="319" t="s">
        <v>433</v>
      </c>
      <c r="F48" s="320"/>
      <c r="G48" s="320"/>
      <c r="H48" s="321"/>
      <c r="I48" s="7">
        <f>16.5+16.5+8+8+8</f>
        <v>57</v>
      </c>
      <c r="J48" s="4"/>
      <c r="K48" s="5"/>
    </row>
    <row r="49" spans="1:11" s="6" customFormat="1" ht="31.2" customHeight="1" x14ac:dyDescent="0.25">
      <c r="A49" s="20" t="s">
        <v>266</v>
      </c>
      <c r="B49" s="34" t="str">
        <f>'Planilha Orçamentária'!C51</f>
        <v>FÔRMA E DESFORMA DE TÁBUA E SARRAFO, REAPROVEITAMENTO (3X) (FUNDAÇÃO)</v>
      </c>
      <c r="C49" s="21" t="str">
        <f>'Planilha Orçamentária'!D51</f>
        <v>M2</v>
      </c>
      <c r="D49" s="50">
        <f>57*0.25*2</f>
        <v>28.5</v>
      </c>
      <c r="E49" s="319" t="s">
        <v>434</v>
      </c>
      <c r="F49" s="320"/>
      <c r="G49" s="320"/>
      <c r="H49" s="321"/>
      <c r="I49" s="7"/>
      <c r="J49" s="4"/>
      <c r="K49" s="5"/>
    </row>
    <row r="50" spans="1:11" s="6" customFormat="1" ht="31.2" customHeight="1" x14ac:dyDescent="0.25">
      <c r="A50" s="20" t="s">
        <v>267</v>
      </c>
      <c r="B50" s="34" t="str">
        <f>'Planilha Orçamentária'!C52</f>
        <v>Armação em aço CA-50 - fornecimento, preparo e colocação - 8.00 MM</v>
      </c>
      <c r="C50" s="21" t="str">
        <f>'Planilha Orçamentária'!D52</f>
        <v>KG</v>
      </c>
      <c r="D50" s="50">
        <f>57*4*0.395</f>
        <v>90.06</v>
      </c>
      <c r="E50" s="319" t="s">
        <v>435</v>
      </c>
      <c r="F50" s="320"/>
      <c r="G50" s="320"/>
      <c r="H50" s="321"/>
      <c r="I50" s="7"/>
      <c r="J50" s="4"/>
      <c r="K50" s="5"/>
    </row>
    <row r="51" spans="1:11" s="6" customFormat="1" ht="64.2" customHeight="1" x14ac:dyDescent="0.25">
      <c r="A51" s="20" t="s">
        <v>268</v>
      </c>
      <c r="B51" s="34" t="str">
        <f>'Planilha Orçamentária'!C53</f>
        <v>FORNECIMENTO DE CONCRETO ESTRUTURAL, PREPARADO EM
 OBRA COM BETONEIRA, COM FCK 20MPA, INCLUSIVE
 LANÇAMENTO, ADENSAMENTO E ACABAMENTO (FUNDAÇÃO)</v>
      </c>
      <c r="C51" s="21" t="str">
        <f>'Planilha Orçamentária'!D53</f>
        <v>M3</v>
      </c>
      <c r="D51" s="50">
        <f>57*0.25*0.15</f>
        <v>2.1374999999999997</v>
      </c>
      <c r="E51" s="319" t="s">
        <v>436</v>
      </c>
      <c r="F51" s="320"/>
      <c r="G51" s="320"/>
      <c r="H51" s="321"/>
      <c r="I51" s="7"/>
      <c r="J51" s="4"/>
      <c r="K51" s="5"/>
    </row>
    <row r="52" spans="1:11" s="6" customFormat="1" ht="87" customHeight="1" x14ac:dyDescent="0.25">
      <c r="A52" s="20" t="s">
        <v>269</v>
      </c>
      <c r="B52" s="34" t="str">
        <f>'Planilha Orçamentária'!C54</f>
        <v xml:space="preserve"> ALAMBRADO PARA QUADRA ESPORTIVA, EM TELA DE ARAME
 GALVANIZADO COM TRAMA LOSANGULAR DE 2" (50,8MM) E FIO
 BWG12 (2,77MM), EXCLUSIVE PINTURA, INCLUSIVE FIXAÇÃO E
 FORNECIMENTO EM QUADROS DE TUBOS DE AÇO CARBONO
 GALVANIZADO DIÂMETRO DE 50MM (2")</v>
      </c>
      <c r="C52" s="21" t="str">
        <f>'Planilha Orçamentária'!D54</f>
        <v>M2</v>
      </c>
      <c r="D52" s="50">
        <f>36*1.2</f>
        <v>43.199999999999996</v>
      </c>
      <c r="E52" s="319" t="s">
        <v>437</v>
      </c>
      <c r="F52" s="320"/>
      <c r="G52" s="320"/>
      <c r="H52" s="321"/>
      <c r="I52" s="7">
        <f>10+10+8+8</f>
        <v>36</v>
      </c>
      <c r="J52" s="4"/>
      <c r="K52" s="5"/>
    </row>
    <row r="53" spans="1:11" s="6" customFormat="1" ht="65.400000000000006" customHeight="1" x14ac:dyDescent="0.25">
      <c r="A53" s="20" t="s">
        <v>270</v>
      </c>
      <c r="B53" s="34" t="str">
        <f>'Planilha Orçamentária'!C55</f>
        <v>PORTÃO EM TUBO DE AÇO GALVANIZADO COM COSTURA,
 DIÂMETRO DE 1.1/2" (38,1MM), ESP. 2MM, COM TELA
 QUADRICULADA ONDULADA, TRAMA DE 1/2" (12,70MM), FIO 12 (2,
 77MM), EXCLUSIVE CADEADO E PINTURA</v>
      </c>
      <c r="C53" s="21" t="str">
        <f>'Planilha Orçamentária'!D55</f>
        <v>M2</v>
      </c>
      <c r="D53" s="50">
        <f>0.9*1.2</f>
        <v>1.08</v>
      </c>
      <c r="E53" s="319" t="s">
        <v>438</v>
      </c>
      <c r="F53" s="320"/>
      <c r="G53" s="320"/>
      <c r="H53" s="321"/>
      <c r="I53" s="7"/>
      <c r="J53" s="4"/>
      <c r="K53" s="5"/>
    </row>
    <row r="54" spans="1:11" s="6" customFormat="1" ht="55.8" customHeight="1" x14ac:dyDescent="0.25">
      <c r="A54" s="20" t="s">
        <v>271</v>
      </c>
      <c r="B54" s="34" t="str">
        <f>'Planilha Orçamentária'!C56</f>
        <v>PINTURA ESMALTE BASE SOLVENTE EM ESTRUTURA DE AÇO
 CARBONO, DUAS (2) DEMÃOS, COM APLICAÇÃO MANUAL,
 EXCLUSIVE FUNDO ANTICORROSIVO E PREPARAÇÃO DA
 SUPERFÍCIE COM LIXAMENTO</v>
      </c>
      <c r="C54" s="21" t="str">
        <f>'Planilha Orçamentária'!D56</f>
        <v>M2</v>
      </c>
      <c r="D54" s="50">
        <f>(43.2*2)+(1.08)</f>
        <v>87.48</v>
      </c>
      <c r="E54" s="319" t="s">
        <v>439</v>
      </c>
      <c r="F54" s="320"/>
      <c r="G54" s="320"/>
      <c r="H54" s="321"/>
      <c r="I54" s="7"/>
      <c r="J54" s="4"/>
      <c r="K54" s="5"/>
    </row>
    <row r="55" spans="1:11" s="6" customFormat="1" ht="45" customHeight="1" x14ac:dyDescent="0.25">
      <c r="A55" s="20" t="s">
        <v>272</v>
      </c>
      <c r="B55" s="34" t="str">
        <f>'Planilha Orçamentária'!C57</f>
        <v>PISO CIMENTADO NATADO COM ARGAMASSA, ACABAMENTO
 QUEIMADO, TRAÇO 1:3 (CIMENTO E AREIA), ESP. 25MM,
 MODULAÇÃO DE (200X200)CM, INCLUSIVE JUNTA PLÁSTICA</v>
      </c>
      <c r="C55" s="21" t="str">
        <f>'Planilha Orçamentária'!D57</f>
        <v>M2</v>
      </c>
      <c r="D55" s="50">
        <f>6.5*8</f>
        <v>52</v>
      </c>
      <c r="E55" s="319" t="s">
        <v>440</v>
      </c>
      <c r="F55" s="320"/>
      <c r="G55" s="320"/>
      <c r="H55" s="321"/>
      <c r="I55" s="7"/>
      <c r="J55" s="4"/>
      <c r="K55" s="5"/>
    </row>
    <row r="56" spans="1:11" s="6" customFormat="1" ht="31.2" customHeight="1" x14ac:dyDescent="0.25">
      <c r="A56" s="20" t="s">
        <v>273</v>
      </c>
      <c r="B56" s="34" t="str">
        <f>'Planilha Orçamentária'!C58</f>
        <v>LASTRO DE CONCRETO MAGRO, INCLUSIVE TRANSPORTE,
LANÇAMENTO E ADENSAMENTO - 6 CM ESPESSURA</v>
      </c>
      <c r="C56" s="21" t="str">
        <f>'Planilha Orçamentária'!D58</f>
        <v>M3</v>
      </c>
      <c r="D56" s="50">
        <f>6.5*8*0.06</f>
        <v>3.12</v>
      </c>
      <c r="E56" s="319" t="s">
        <v>441</v>
      </c>
      <c r="F56" s="320"/>
      <c r="G56" s="320"/>
      <c r="H56" s="321"/>
      <c r="I56" s="7"/>
      <c r="J56" s="4"/>
      <c r="K56" s="5"/>
    </row>
    <row r="57" spans="1:11" s="6" customFormat="1" ht="31.2" customHeight="1" x14ac:dyDescent="0.25">
      <c r="A57" s="20" t="s">
        <v>425</v>
      </c>
      <c r="B57" s="34" t="str">
        <f>'Planilha Orçamentária'!C59</f>
        <v>AREIA FINA - POSTO JAZIDA/FORNECEDOR (RETIRADO NA JAZIDA, SEM TRANSPORTE)</v>
      </c>
      <c r="C57" s="21" t="str">
        <f>'Planilha Orçamentária'!D59</f>
        <v>M3</v>
      </c>
      <c r="D57" s="50">
        <f>10*8*0.15</f>
        <v>12</v>
      </c>
      <c r="E57" s="319" t="s">
        <v>442</v>
      </c>
      <c r="F57" s="320"/>
      <c r="G57" s="320"/>
      <c r="H57" s="321"/>
      <c r="I57" s="7"/>
      <c r="J57" s="4"/>
      <c r="K57" s="5"/>
    </row>
    <row r="58" spans="1:11" s="6" customFormat="1" ht="49.2" customHeight="1" x14ac:dyDescent="0.25">
      <c r="A58" s="20" t="s">
        <v>426</v>
      </c>
      <c r="B58" s="34" t="str">
        <f>'Planilha Orçamentária'!C60</f>
        <v>TRANSPORTE DE MATERIAL DE QUALQUER NATUREZA EM
 CAMINHÃO, DISTÂNCIA MAIORES QUE 30KM, DENTRO DO
 PERÍMETRO URBANO, EXCLUSIVE CARGA, INCLUSIVE DESCARGA</v>
      </c>
      <c r="C58" s="21" t="str">
        <f>'Planilha Orçamentária'!D60</f>
        <v>M3XKM</v>
      </c>
      <c r="D58" s="50">
        <f>D57*24</f>
        <v>288</v>
      </c>
      <c r="E58" s="319" t="s">
        <v>443</v>
      </c>
      <c r="F58" s="320"/>
      <c r="G58" s="320"/>
      <c r="H58" s="321"/>
      <c r="I58" s="7"/>
      <c r="J58" s="4"/>
      <c r="K58" s="5"/>
    </row>
    <row r="59" spans="1:11" s="6" customFormat="1" ht="31.2" customHeight="1" x14ac:dyDescent="0.25">
      <c r="A59" s="20" t="s">
        <v>427</v>
      </c>
      <c r="B59" s="34" t="str">
        <f>'Planilha Orçamentária'!C61</f>
        <v>PINTURA ACRÍLICA PARA PISO EM PASSEIO/SUPERFÍCIE
 CIMENTADA, DUAS (2) DEMÃOS, COM APLICAÇÃO MANUA</v>
      </c>
      <c r="C59" s="21" t="str">
        <f>'Planilha Orçamentária'!D61</f>
        <v>M2</v>
      </c>
      <c r="D59" s="50">
        <f>6.5*8</f>
        <v>52</v>
      </c>
      <c r="E59" s="319" t="s">
        <v>440</v>
      </c>
      <c r="F59" s="320"/>
      <c r="G59" s="320"/>
      <c r="H59" s="321"/>
      <c r="I59" s="7"/>
      <c r="J59" s="4"/>
      <c r="K59" s="5"/>
    </row>
    <row r="60" spans="1:11" s="6" customFormat="1" ht="31.2" customHeight="1" x14ac:dyDescent="0.25">
      <c r="A60" s="20" t="s">
        <v>428</v>
      </c>
      <c r="B60" s="34" t="str">
        <f>'Planilha Orçamentária'!C62</f>
        <v>Brinquedo - Gangorra em estrutura de concreto, tubo de ferro galvanizado de 3" e 4" e assento de madeira, com 03 pranchas</v>
      </c>
      <c r="C60" s="21" t="str">
        <f>'Planilha Orçamentária'!D62</f>
        <v>UND</v>
      </c>
      <c r="D60" s="50">
        <v>1</v>
      </c>
      <c r="E60" s="319" t="s">
        <v>233</v>
      </c>
      <c r="F60" s="320"/>
      <c r="G60" s="320"/>
      <c r="H60" s="321"/>
      <c r="I60" s="7"/>
      <c r="J60" s="4"/>
      <c r="K60" s="5"/>
    </row>
    <row r="61" spans="1:11" s="6" customFormat="1" ht="31.2" customHeight="1" x14ac:dyDescent="0.25">
      <c r="A61" s="20" t="s">
        <v>429</v>
      </c>
      <c r="B61" s="34" t="str">
        <f>'Planilha Orçamentária'!C63</f>
        <v>Brinquedo - Gira-gira (carrossel ø=1,70m), em tubo de ferro galvanizado de 1 1/2" e assento em chapa galvanizada e=1/4", sergipark ou similar</v>
      </c>
      <c r="C61" s="21" t="str">
        <f>'Planilha Orçamentária'!D63</f>
        <v>UND</v>
      </c>
      <c r="D61" s="50">
        <v>1</v>
      </c>
      <c r="E61" s="319" t="s">
        <v>233</v>
      </c>
      <c r="F61" s="320"/>
      <c r="G61" s="320"/>
      <c r="H61" s="321"/>
      <c r="I61" s="7"/>
      <c r="J61" s="4"/>
      <c r="K61" s="5"/>
    </row>
    <row r="62" spans="1:11" s="6" customFormat="1" ht="31.2" customHeight="1" x14ac:dyDescent="0.25">
      <c r="A62" s="20" t="s">
        <v>430</v>
      </c>
      <c r="B62" s="34" t="str">
        <f>'Planilha Orçamentária'!C64</f>
        <v>Brinquedo - Balanço Duplo, modelo M117, da Lúdico Brinquedos Inteligentes ou similar</v>
      </c>
      <c r="C62" s="21" t="str">
        <f>'Planilha Orçamentária'!D64</f>
        <v>UND</v>
      </c>
      <c r="D62" s="50">
        <v>1</v>
      </c>
      <c r="E62" s="319" t="s">
        <v>233</v>
      </c>
      <c r="F62" s="320"/>
      <c r="G62" s="320"/>
      <c r="H62" s="321"/>
      <c r="I62" s="7"/>
      <c r="J62" s="4"/>
      <c r="K62" s="5"/>
    </row>
    <row r="63" spans="1:11" s="6" customFormat="1" ht="79.2" customHeight="1" x14ac:dyDescent="0.25">
      <c r="A63" s="20" t="s">
        <v>431</v>
      </c>
      <c r="B63" s="34" t="str">
        <f>'Planilha Orçamentária'!C65</f>
        <v>FORNECIMENTO E INSTALAÇÃO DE ESCORREGADOR MÉDIO
 METÁLICO PARA PARQUE INFANTIL, FIXADO COM CONCRETO
 NÃO ESTRUTURAL, PREPARADO EM OBRA COM BETONEIRA, COM
 FCK 15 MPA , INCLUSIVE ESCAVAÇÃO E TRANSPORTE COM
 RETIRADA DO MATERIAL ESCAVADO (EM CAÇAMBA)</v>
      </c>
      <c r="C63" s="21" t="str">
        <f>'Planilha Orçamentária'!D65</f>
        <v>UND</v>
      </c>
      <c r="D63" s="50">
        <v>2</v>
      </c>
      <c r="E63" s="319" t="s">
        <v>274</v>
      </c>
      <c r="F63" s="320"/>
      <c r="G63" s="320"/>
      <c r="H63" s="321"/>
      <c r="I63" s="7"/>
      <c r="J63" s="4"/>
      <c r="K63" s="5"/>
    </row>
    <row r="64" spans="1:11" s="6" customFormat="1" ht="42.6" customHeight="1" thickBot="1" x14ac:dyDescent="0.3">
      <c r="A64" s="20" t="s">
        <v>432</v>
      </c>
      <c r="B64" s="34" t="str">
        <f>'Planilha Orçamentária'!C66</f>
        <v>RAMPA PARA ACESSO DE DEFICIENTE, EM CONCRETO SIMPLES FCK = 25 MPA, DESEMPENADA, COM PINTURA INDICATIVA, 02 DEMÃOS</v>
      </c>
      <c r="C64" s="21" t="str">
        <f>'Planilha Orçamentária'!D66</f>
        <v>UND</v>
      </c>
      <c r="D64" s="50">
        <v>1</v>
      </c>
      <c r="E64" s="319" t="s">
        <v>233</v>
      </c>
      <c r="F64" s="320"/>
      <c r="G64" s="320"/>
      <c r="H64" s="321"/>
      <c r="I64" s="7"/>
      <c r="J64" s="4"/>
      <c r="K64" s="5"/>
    </row>
    <row r="65" spans="1:11" s="6" customFormat="1" ht="19.8" customHeight="1" thickBot="1" x14ac:dyDescent="0.3">
      <c r="A65" s="325" t="s">
        <v>460</v>
      </c>
      <c r="B65" s="326"/>
      <c r="C65" s="326"/>
      <c r="D65" s="326"/>
      <c r="E65" s="326"/>
      <c r="F65" s="326"/>
      <c r="G65" s="326"/>
      <c r="H65" s="327"/>
      <c r="I65" s="7"/>
      <c r="J65" s="4"/>
      <c r="K65" s="5"/>
    </row>
    <row r="66" spans="1:11" s="6" customFormat="1" ht="19.8" customHeight="1" x14ac:dyDescent="0.25">
      <c r="A66" s="102" t="s">
        <v>46</v>
      </c>
      <c r="B66" s="44" t="s">
        <v>328</v>
      </c>
      <c r="C66" s="43"/>
      <c r="D66" s="104"/>
      <c r="E66" s="322"/>
      <c r="F66" s="323"/>
      <c r="G66" s="323"/>
      <c r="H66" s="324"/>
      <c r="I66" s="7"/>
      <c r="J66" s="4"/>
      <c r="K66" s="5"/>
    </row>
    <row r="67" spans="1:11" s="6" customFormat="1" ht="76.8" customHeight="1" x14ac:dyDescent="0.25">
      <c r="A67" s="20" t="s">
        <v>47</v>
      </c>
      <c r="B67" s="34" t="str">
        <f>'Planilha Orçamentária'!C70</f>
        <v>FORNECIMENTO E COLOCAÇÃO DE PLACA DE OBRA EM CHAPA
GALVANIZADA (3,00 X 1,5 0 M) - EM CHAPA GALVANIZADA 0,26
AFIXADAS COM REBITES 540 E PARAFUSOS 3/8, EM ESTRUTURA
METÁLICA VIGA U 2" ENRIJECIDA COM METALON 20 X 20, SUPORTE
EM EUCALIPTO AUTOCLAVADO PINTADAS</v>
      </c>
      <c r="C67" s="21" t="str">
        <f>'Planilha Orçamentária'!D70</f>
        <v>UND</v>
      </c>
      <c r="D67" s="50">
        <v>1</v>
      </c>
      <c r="E67" s="319" t="s">
        <v>233</v>
      </c>
      <c r="F67" s="320"/>
      <c r="G67" s="320"/>
      <c r="H67" s="321"/>
      <c r="I67" s="7"/>
      <c r="J67" s="4"/>
      <c r="K67" s="5"/>
    </row>
    <row r="68" spans="1:11" s="6" customFormat="1" ht="59.4" customHeight="1" x14ac:dyDescent="0.25">
      <c r="A68" s="20" t="s">
        <v>96</v>
      </c>
      <c r="B68" s="34" t="str">
        <f>'Planilha Orçamentária'!C71</f>
        <v>LOCAÇÃO DE OBRA COM GABARITO DE TÁBUAS CORRIDAS
PONTALETADAS A CADA 2,00M, REAPROVEITAMENTO (2X),
INCLUSIVE ACOMPANHAMENTO DE EQUIPE TOPOGRÁFICA PARA
MARCAÇÃO DE PONTO TOPOGRÁFICO</v>
      </c>
      <c r="C68" s="21" t="str">
        <f>'Planilha Orçamentária'!D71</f>
        <v>M</v>
      </c>
      <c r="D68" s="50">
        <v>88</v>
      </c>
      <c r="E68" s="319" t="s">
        <v>373</v>
      </c>
      <c r="F68" s="320"/>
      <c r="G68" s="320"/>
      <c r="H68" s="321"/>
      <c r="I68" s="7"/>
      <c r="J68" s="4"/>
      <c r="K68" s="5"/>
    </row>
    <row r="69" spans="1:11" s="6" customFormat="1" ht="40.200000000000003" customHeight="1" x14ac:dyDescent="0.25">
      <c r="A69" s="102" t="s">
        <v>51</v>
      </c>
      <c r="B69" s="44" t="s">
        <v>326</v>
      </c>
      <c r="C69" s="43"/>
      <c r="D69" s="104"/>
      <c r="E69" s="322"/>
      <c r="F69" s="323"/>
      <c r="G69" s="323"/>
      <c r="H69" s="324"/>
      <c r="I69" s="7"/>
      <c r="J69" s="4"/>
      <c r="K69" s="5"/>
    </row>
    <row r="70" spans="1:11" s="6" customFormat="1" ht="40.200000000000003" customHeight="1" x14ac:dyDescent="0.25">
      <c r="A70" s="20" t="s">
        <v>52</v>
      </c>
      <c r="B70" s="34" t="str">
        <f>'Planilha Orçamentária'!C73</f>
        <v>ESCAVAÇÃO MANUAL DE VALA PARA VIGA BALDRAME (INCLUINDO ESCAVAÇÃO PARA COLOCAÇÃO DE FÔRMAS). AF_06/2017</v>
      </c>
      <c r="C70" s="21" t="str">
        <f>'Planilha Orçamentária'!D73</f>
        <v>M3</v>
      </c>
      <c r="D70" s="50">
        <f>(88+24+10)*0.1*0.15</f>
        <v>1.83</v>
      </c>
      <c r="E70" s="319" t="s">
        <v>374</v>
      </c>
      <c r="F70" s="320"/>
      <c r="G70" s="320"/>
      <c r="H70" s="321"/>
      <c r="I70" s="7">
        <f>((0.5*0.5*1.4)*13)</f>
        <v>4.55</v>
      </c>
      <c r="J70" s="4">
        <f>(6+6+6+6+11.15+11.15+2.15+1.4)*0.25*0.14</f>
        <v>1.74475</v>
      </c>
      <c r="K70" s="5"/>
    </row>
    <row r="71" spans="1:11" s="6" customFormat="1" ht="40.200000000000003" customHeight="1" x14ac:dyDescent="0.25">
      <c r="A71" s="20" t="s">
        <v>53</v>
      </c>
      <c r="B71" s="34" t="str">
        <f>'Planilha Orçamentária'!C74</f>
        <v>FÔRMA E DESFORMA DE TÁBUA E SARRAFO, REAPROVEITAMENTO (3X) (FUNDAÇÃO)</v>
      </c>
      <c r="C71" s="21" t="str">
        <f>'Planilha Orçamentária'!D74</f>
        <v>M2</v>
      </c>
      <c r="D71" s="50">
        <f>((88+24+10)/3)*0.25*2</f>
        <v>20.333333333333332</v>
      </c>
      <c r="E71" s="319" t="s">
        <v>375</v>
      </c>
      <c r="F71" s="320"/>
      <c r="G71" s="320"/>
      <c r="H71" s="321"/>
      <c r="I71" s="7">
        <f>((0.5*0.5)*13)</f>
        <v>3.25</v>
      </c>
      <c r="J71" s="4"/>
      <c r="K71" s="5"/>
    </row>
    <row r="72" spans="1:11" s="6" customFormat="1" ht="40.200000000000003" customHeight="1" x14ac:dyDescent="0.25">
      <c r="A72" s="20" t="s">
        <v>258</v>
      </c>
      <c r="B72" s="34" t="str">
        <f>'Planilha Orçamentária'!C75</f>
        <v>Armação em aço CA-50 - fornecimento, preparo e colocação - 8.00 MM</v>
      </c>
      <c r="C72" s="21" t="str">
        <f>'Planilha Orçamentária'!D75</f>
        <v>KG</v>
      </c>
      <c r="D72" s="50">
        <f>122*4*0.395</f>
        <v>192.76000000000002</v>
      </c>
      <c r="E72" s="319" t="s">
        <v>376</v>
      </c>
      <c r="F72" s="320"/>
      <c r="G72" s="320"/>
      <c r="H72" s="321"/>
      <c r="I72" s="7"/>
      <c r="J72" s="4">
        <f>(6+6+6+6+11.15+11.15+2.15+1.4)*0.25</f>
        <v>12.462499999999999</v>
      </c>
      <c r="K72" s="5"/>
    </row>
    <row r="73" spans="1:11" s="6" customFormat="1" ht="52.8" customHeight="1" x14ac:dyDescent="0.25">
      <c r="A73" s="20" t="s">
        <v>259</v>
      </c>
      <c r="B73" s="34" t="str">
        <f>'Planilha Orçamentária'!C76</f>
        <v>FORNECIMENTO DE CONCRETO ESTRUTURAL, PREPARADO EM
 OBRA COM BETONEIRA, COM FCK 20MPA, INCLUSIVE
 LANÇAMENTO, ADENSAMENTO E ACABAMENTO (FUNDAÇÃO)</v>
      </c>
      <c r="C73" s="21" t="str">
        <f>'Planilha Orçamentária'!D76</f>
        <v>M3</v>
      </c>
      <c r="D73" s="50">
        <f>122*0.25*0.15</f>
        <v>4.5750000000000002</v>
      </c>
      <c r="E73" s="319" t="s">
        <v>377</v>
      </c>
      <c r="F73" s="320"/>
      <c r="G73" s="320"/>
      <c r="H73" s="321"/>
      <c r="I73" s="7">
        <f>123.9*0.154</f>
        <v>19.0806</v>
      </c>
      <c r="J73" s="4"/>
      <c r="K73" s="5"/>
    </row>
    <row r="74" spans="1:11" s="6" customFormat="1" ht="75.599999999999994" customHeight="1" x14ac:dyDescent="0.25">
      <c r="A74" s="20" t="s">
        <v>260</v>
      </c>
      <c r="B74" s="34" t="str">
        <f>'Planilha Orçamentária'!C77</f>
        <v xml:space="preserve"> ALAMBRADO PARA QUADRA ESPORTIVA, EM TELA DE ARAME
 GALVANIZADO COM TRAMA LOSANGULAR DE 2" (50,8MM) E FIO
 BWG12 (2,77MM), EXCLUSIVE PINTURA, INCLUSIVE FIXAÇÃO E
 FORNECIMENTO EM QUADROS DE TUBOS DE AÇO CARBONO
 GALVANIZADO DIÂMETRO DE 50MM (2")</v>
      </c>
      <c r="C74" s="21" t="str">
        <f>'Planilha Orçamentária'!D77</f>
        <v>M2</v>
      </c>
      <c r="D74" s="50">
        <f>78*1.2</f>
        <v>93.6</v>
      </c>
      <c r="E74" s="319" t="s">
        <v>378</v>
      </c>
      <c r="F74" s="320"/>
      <c r="G74" s="320"/>
      <c r="H74" s="321"/>
      <c r="I74" s="7">
        <f>(180.96*0.617)+(72.8*0.617) + (99.7*0.617)</f>
        <v>218.08482000000001</v>
      </c>
      <c r="J74" s="4">
        <f>6+6+6+6+11.15+11.15+2.15+1.4</f>
        <v>49.849999999999994</v>
      </c>
      <c r="K74" s="5"/>
    </row>
    <row r="75" spans="1:11" s="6" customFormat="1" ht="70.2" customHeight="1" x14ac:dyDescent="0.25">
      <c r="A75" s="20" t="s">
        <v>261</v>
      </c>
      <c r="B75" s="34" t="str">
        <f>'Planilha Orçamentária'!C78</f>
        <v>PORTÃO EM TUBO DE AÇO GALVANIZADO COM COSTURA,
 DIÂMETRO DE 1.1/2" (38,1MM), ESP. 2MM, COM TELA
 QUADRICULADA ONDULADA, TRAMA DE 1/2" (12,70MM), FIO 12 (2,
 77MM), EXCLUSIVE CADEADO E PINTURA</v>
      </c>
      <c r="C75" s="21" t="str">
        <f>'Planilha Orçamentária'!D78</f>
        <v>M2</v>
      </c>
      <c r="D75" s="50">
        <f>(0.9*1.5)*2</f>
        <v>2.7</v>
      </c>
      <c r="E75" s="319" t="s">
        <v>379</v>
      </c>
      <c r="F75" s="320"/>
      <c r="G75" s="320"/>
      <c r="H75" s="321"/>
      <c r="I75" s="7">
        <f>(99.7*0.395)</f>
        <v>39.381500000000003</v>
      </c>
      <c r="J75" s="4"/>
      <c r="K75" s="5"/>
    </row>
    <row r="76" spans="1:11" s="6" customFormat="1" ht="63" customHeight="1" x14ac:dyDescent="0.25">
      <c r="A76" s="20" t="s">
        <v>262</v>
      </c>
      <c r="B76" s="34" t="str">
        <f>'Planilha Orçamentária'!C79</f>
        <v>PINTURA ESMALTE BASE SOLVENTE EM ESTRUTURA DE AÇO
 CARBONO, DUAS (2) DEMÃOS, COM APLICAÇÃO MANUAL,
 EXCLUSIVE FUNDO ANTICORROSIVO E PREPARAÇÃO DA
 SUPERFÍCIE COM LIXAMENTO</v>
      </c>
      <c r="C76" s="21" t="str">
        <f>'Planilha Orçamentária'!D79</f>
        <v>M2</v>
      </c>
      <c r="D76" s="50">
        <f>(93.6*2)+(2.7*2)</f>
        <v>192.6</v>
      </c>
      <c r="E76" s="319" t="s">
        <v>380</v>
      </c>
      <c r="F76" s="320"/>
      <c r="G76" s="320"/>
      <c r="H76" s="321"/>
      <c r="I76" s="7">
        <f>0.106*13</f>
        <v>1.3779999999999999</v>
      </c>
      <c r="J76" s="4"/>
      <c r="K76" s="5"/>
    </row>
    <row r="77" spans="1:11" s="6" customFormat="1" ht="40.200000000000003" customHeight="1" x14ac:dyDescent="0.25">
      <c r="A77" s="102" t="s">
        <v>57</v>
      </c>
      <c r="B77" s="44" t="s">
        <v>113</v>
      </c>
      <c r="C77" s="43"/>
      <c r="D77" s="104"/>
      <c r="E77" s="322"/>
      <c r="F77" s="323"/>
      <c r="G77" s="323"/>
      <c r="H77" s="324"/>
      <c r="I77" s="4">
        <f>(6+6+6+6+11.15+11.15+2.15+1.4)*0.25*0.14</f>
        <v>1.74475</v>
      </c>
      <c r="J77" s="4"/>
      <c r="K77" s="5"/>
    </row>
    <row r="78" spans="1:11" s="6" customFormat="1" ht="54" customHeight="1" x14ac:dyDescent="0.25">
      <c r="A78" s="20" t="s">
        <v>58</v>
      </c>
      <c r="B78" s="34" t="str">
        <f>'Planilha Orçamentária'!C81</f>
        <v>PISO CIMENTADO NATADO COM ARGAMASSA, ACABAMENTO
 QUEIMADO, TRAÇO 1:3 (CIMENTO E AREIA), ESP. 25MM,
 MODULAÇÃO DE (200X200)CM, INCLUSIVE JUNTA PLÁSTICA</v>
      </c>
      <c r="C78" s="21" t="str">
        <f>'Planilha Orçamentária'!D81</f>
        <v>M2</v>
      </c>
      <c r="D78" s="50">
        <v>240</v>
      </c>
      <c r="E78" s="319" t="s">
        <v>381</v>
      </c>
      <c r="F78" s="320"/>
      <c r="G78" s="320"/>
      <c r="H78" s="321"/>
      <c r="I78" s="7">
        <f>(276.64*0.154)+(95.9*0.154)</f>
        <v>57.371159999999996</v>
      </c>
      <c r="J78" s="4">
        <f>6+6+6+11.15+11.15+2.15+1.4</f>
        <v>43.849999999999994</v>
      </c>
      <c r="K78" s="5"/>
    </row>
    <row r="79" spans="1:11" s="6" customFormat="1" ht="84.6" customHeight="1" x14ac:dyDescent="0.25">
      <c r="A79" s="20" t="s">
        <v>59</v>
      </c>
      <c r="B79" s="34" t="str">
        <f>'Planilha Orçamentária'!C82</f>
        <v>PISO EM CONCRETO USINADO CONVENCIONAL COM DE FCK
 15MPA, COM TELA SOLDADA NERVURADA TIPO Q-138,
 ACABAMENTO POLÍDO EM NÍVEL ZERO, ESP. 12CM, INCLUSIVE
 FORNECIMENTO, LANÇAMENTO, ADENSAMENTO, EXCLUSIVE
 JUNTA DE DILATAÇÃO</v>
      </c>
      <c r="C79" s="21" t="str">
        <f>'Planilha Orçamentária'!D82</f>
        <v>M2</v>
      </c>
      <c r="D79" s="50">
        <f>24*10</f>
        <v>240</v>
      </c>
      <c r="E79" s="319" t="s">
        <v>381</v>
      </c>
      <c r="F79" s="320"/>
      <c r="G79" s="320"/>
      <c r="H79" s="321"/>
      <c r="I79" s="7">
        <f>(163.8*0.617)+(175.4*0.617)</f>
        <v>209.28640000000001</v>
      </c>
      <c r="J79" s="4">
        <f>6+6+6+11.15+11.15+2.15+1.4</f>
        <v>43.849999999999994</v>
      </c>
      <c r="K79" s="5"/>
    </row>
    <row r="80" spans="1:11" s="6" customFormat="1" ht="45" customHeight="1" x14ac:dyDescent="0.25">
      <c r="A80" s="20" t="s">
        <v>159</v>
      </c>
      <c r="B80" s="34" t="str">
        <f>'Planilha Orçamentária'!C83</f>
        <v>AREIA FINA - POSTO JAZIDA/FORNECEDOR (RETIRADO NA JAZIDA, SEM TRANSPORTE)</v>
      </c>
      <c r="C80" s="21" t="str">
        <f>'Planilha Orçamentária'!D83</f>
        <v>M3</v>
      </c>
      <c r="D80" s="50">
        <f>24*10*0.15</f>
        <v>36</v>
      </c>
      <c r="E80" s="319" t="s">
        <v>382</v>
      </c>
      <c r="F80" s="320"/>
      <c r="G80" s="320"/>
      <c r="H80" s="321"/>
      <c r="I80" s="7">
        <f>0.8*3.15*13</f>
        <v>32.76</v>
      </c>
      <c r="J80" s="4"/>
      <c r="K80" s="5"/>
    </row>
    <row r="81" spans="1:11" s="6" customFormat="1" ht="58.8" customHeight="1" x14ac:dyDescent="0.25">
      <c r="A81" s="20" t="s">
        <v>160</v>
      </c>
      <c r="B81" s="34" t="str">
        <f>'Planilha Orçamentária'!C84</f>
        <v>TRANSPORTE DE MATERIAL DE QUALQUER NATUREZA EM
 CAMINHÃO, DISTÂNCIA MAIORES QUE 30KM, DENTRO DO
 PERÍMETRO URBANO, EXCLUSIVE CARGA, INCLUSIVE DESCARGA</v>
      </c>
      <c r="C81" s="21" t="str">
        <f>'Planilha Orçamentária'!D84</f>
        <v>M3XKM</v>
      </c>
      <c r="D81" s="50">
        <f>24*10*0.15*24</f>
        <v>864</v>
      </c>
      <c r="E81" s="319" t="s">
        <v>383</v>
      </c>
      <c r="F81" s="320"/>
      <c r="G81" s="320"/>
      <c r="H81" s="321"/>
      <c r="I81" s="7">
        <f>0.88*43.85</f>
        <v>38.588000000000001</v>
      </c>
      <c r="J81" s="4"/>
      <c r="K81" s="5"/>
    </row>
    <row r="82" spans="1:11" s="6" customFormat="1" ht="40.200000000000003" customHeight="1" x14ac:dyDescent="0.25">
      <c r="A82" s="20" t="s">
        <v>161</v>
      </c>
      <c r="B82" s="34" t="str">
        <f>'Planilha Orçamentária'!C85</f>
        <v>PINTURA EPÓXI EM PISO, DUAS (2) DEMÃOS, COM APLICAÇÃO
 MANUAL, INCLUSIVE UMA (1) DEMÃO DE PRIMER EPÓXI</v>
      </c>
      <c r="C82" s="21" t="str">
        <f>'Planilha Orçamentária'!D85</f>
        <v>M2</v>
      </c>
      <c r="D82" s="50">
        <v>240</v>
      </c>
      <c r="E82" s="319" t="s">
        <v>381</v>
      </c>
      <c r="F82" s="320"/>
      <c r="G82" s="320"/>
      <c r="H82" s="321"/>
      <c r="I82" s="7">
        <f>0.26*0.14*3.15*13</f>
        <v>1.49058</v>
      </c>
      <c r="J82" s="4"/>
      <c r="K82" s="5"/>
    </row>
    <row r="83" spans="1:11" s="6" customFormat="1" ht="45.6" customHeight="1" x14ac:dyDescent="0.25">
      <c r="A83" s="102" t="s">
        <v>62</v>
      </c>
      <c r="B83" s="44" t="s">
        <v>189</v>
      </c>
      <c r="C83" s="43"/>
      <c r="D83" s="104"/>
      <c r="E83" s="322"/>
      <c r="F83" s="323"/>
      <c r="G83" s="323"/>
      <c r="H83" s="324"/>
      <c r="I83" s="7">
        <f>0.3*0.14*43.85</f>
        <v>1.8417000000000001</v>
      </c>
      <c r="J83" s="4"/>
      <c r="K83" s="5"/>
    </row>
    <row r="84" spans="1:11" s="6" customFormat="1" ht="40.200000000000003" customHeight="1" x14ac:dyDescent="0.25">
      <c r="A84" s="20" t="s">
        <v>63</v>
      </c>
      <c r="B84" s="34" t="str">
        <f>'Planilha Orçamentária'!C87</f>
        <v>Madeiramento em eucalípto tratado, acabamento serrado, c/ ripão 2,5 x 7,5cm e ripa 2,5 x 5cm, exclusive peças principais</v>
      </c>
      <c r="C84" s="21" t="str">
        <f>'Planilha Orçamentária'!D87</f>
        <v>M2</v>
      </c>
      <c r="D84" s="50">
        <v>44.91</v>
      </c>
      <c r="E84" s="319" t="s">
        <v>402</v>
      </c>
      <c r="F84" s="320"/>
      <c r="G84" s="320"/>
      <c r="H84" s="321"/>
      <c r="I84" s="7"/>
      <c r="J84" s="4"/>
      <c r="K84" s="5"/>
    </row>
    <row r="85" spans="1:11" s="6" customFormat="1" ht="40.200000000000003" customHeight="1" x14ac:dyDescent="0.25">
      <c r="A85" s="20" t="s">
        <v>75</v>
      </c>
      <c r="B85" s="34" t="str">
        <f>'Planilha Orçamentária'!C88</f>
        <v>TELHAMENTO COM TELHA CERÂMICA CAPA-CANAL, TIPO PLAN, COM MAIS DE 2 ÁGUAS, INCLUSO TRANSPORTE VERTICAL. AF_07/2019</v>
      </c>
      <c r="C85" s="21" t="str">
        <f>'Planilha Orçamentária'!D88</f>
        <v>M2</v>
      </c>
      <c r="D85" s="50">
        <v>44.91</v>
      </c>
      <c r="E85" s="319" t="s">
        <v>403</v>
      </c>
      <c r="F85" s="320"/>
      <c r="G85" s="320"/>
      <c r="H85" s="321"/>
      <c r="I85" s="7"/>
      <c r="J85" s="4"/>
      <c r="K85" s="5"/>
    </row>
    <row r="86" spans="1:11" s="6" customFormat="1" ht="40.200000000000003" customHeight="1" x14ac:dyDescent="0.25">
      <c r="A86" s="20" t="s">
        <v>170</v>
      </c>
      <c r="B86" s="34" t="str">
        <f>'Planilha Orçamentária'!C89</f>
        <v>CUMEEIRA E ESPIGÃO PARA TELHA CERÂMICA EMBOÇADA COM ARGAMASSA TRAÇO 1:2:9 (CIMENTO, CAL E AREIA), PARA TELHADOS COM MAIS DE 2 ÁGUAS, INCLUSO TRANSPORTE VERTICAL. AF_07/2019</v>
      </c>
      <c r="C86" s="21" t="str">
        <f>'Planilha Orçamentária'!D89</f>
        <v>M</v>
      </c>
      <c r="D86" s="50">
        <v>24.96</v>
      </c>
      <c r="E86" s="319" t="s">
        <v>404</v>
      </c>
      <c r="F86" s="320"/>
      <c r="G86" s="320"/>
      <c r="H86" s="321"/>
      <c r="I86" s="7"/>
      <c r="J86" s="4"/>
      <c r="K86" s="5"/>
    </row>
    <row r="87" spans="1:11" s="6" customFormat="1" ht="40.200000000000003" customHeight="1" x14ac:dyDescent="0.25">
      <c r="A87" s="20" t="s">
        <v>171</v>
      </c>
      <c r="B87" s="34" t="str">
        <f>'Planilha Orçamentária'!C90</f>
        <v xml:space="preserve">MADEIRA ROLICA TRATADA, D = 25 A 29 CM, H = 6,50 M, EM EUCALIPTO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87" s="21" t="str">
        <f>'Planilha Orçamentária'!D90</f>
        <v>M</v>
      </c>
      <c r="D87" s="50">
        <v>21</v>
      </c>
      <c r="E87" s="319" t="s">
        <v>193</v>
      </c>
      <c r="F87" s="320"/>
      <c r="G87" s="320"/>
      <c r="H87" s="321"/>
      <c r="I87" s="7">
        <f>6*6.85</f>
        <v>41.099999999999994</v>
      </c>
      <c r="J87" s="4"/>
      <c r="K87" s="5"/>
    </row>
    <row r="88" spans="1:11" s="6" customFormat="1" ht="46.8" customHeight="1" x14ac:dyDescent="0.25">
      <c r="A88" s="20" t="s">
        <v>184</v>
      </c>
      <c r="B88" s="34" t="str">
        <f>'Planilha Orçamentária'!C91</f>
        <v>Fabricação e instalação de tesoura inteira em madeira não aparelhada, vão de 8 m, para telha ondulada de fibrocimento, metálica, plástica ou termoacústica, incluso içamento. af_07/2019</v>
      </c>
      <c r="C88" s="21" t="str">
        <f>'Planilha Orçamentária'!D91</f>
        <v>UND</v>
      </c>
      <c r="D88" s="50">
        <v>1</v>
      </c>
      <c r="E88" s="319" t="s">
        <v>233</v>
      </c>
      <c r="F88" s="320"/>
      <c r="G88" s="320"/>
      <c r="H88" s="321"/>
      <c r="I88" s="7"/>
      <c r="J88" s="4"/>
      <c r="K88" s="5"/>
    </row>
    <row r="89" spans="1:11" s="6" customFormat="1" ht="38.4" customHeight="1" x14ac:dyDescent="0.25">
      <c r="A89" s="20" t="s">
        <v>185</v>
      </c>
      <c r="B89" s="34" t="str">
        <f>'Planilha Orçamentária'!C92</f>
        <v>ESCAVAÇÃO MANUAL DE TERRA (DESATERRO MANUAL)</v>
      </c>
      <c r="C89" s="21" t="str">
        <f>'Planilha Orçamentária'!D92</f>
        <v>M3</v>
      </c>
      <c r="D89" s="50">
        <v>0.75</v>
      </c>
      <c r="E89" s="319" t="s">
        <v>194</v>
      </c>
      <c r="F89" s="320"/>
      <c r="G89" s="320"/>
      <c r="H89" s="321"/>
      <c r="I89" s="7"/>
      <c r="J89" s="4"/>
      <c r="K89" s="5"/>
    </row>
    <row r="90" spans="1:11" s="6" customFormat="1" ht="45.6" customHeight="1" x14ac:dyDescent="0.25">
      <c r="A90" s="20" t="s">
        <v>208</v>
      </c>
      <c r="B90" s="34" t="str">
        <f>'Planilha Orçamentária'!C93</f>
        <v>FORNECIMENTO DE CONCRETO ESTRUTURAL, PREPARADO EM
OBRA COM BETONEIRA, COM FCK 25 MPA, INCLUSIVE
LANÇAMENTO, ADENSAMENTO E ACABAMENTO (FUNDAÇÃO)</v>
      </c>
      <c r="C90" s="21" t="str">
        <f>'Planilha Orçamentária'!D93</f>
        <v>M3</v>
      </c>
      <c r="D90" s="50">
        <v>0.75</v>
      </c>
      <c r="E90" s="319" t="s">
        <v>194</v>
      </c>
      <c r="F90" s="320"/>
      <c r="G90" s="320"/>
      <c r="H90" s="321"/>
      <c r="I90" s="7"/>
      <c r="J90" s="4"/>
      <c r="K90" s="5"/>
    </row>
    <row r="91" spans="1:11" s="6" customFormat="1" ht="49.8" customHeight="1" x14ac:dyDescent="0.25">
      <c r="A91" s="20" t="s">
        <v>213</v>
      </c>
      <c r="B91" s="34" t="str">
        <f>'Planilha Orçamentária'!C94</f>
        <v>VIGA 0,10 A 0,20 M DE LARGURA, CONCRETO 1:2:4 COM ARMAÇÃO
 E FORMA RESINADA</v>
      </c>
      <c r="C91" s="21" t="str">
        <f>'Planilha Orçamentária'!D94</f>
        <v>M3</v>
      </c>
      <c r="D91" s="50">
        <v>0.61699999999999999</v>
      </c>
      <c r="E91" s="319" t="s">
        <v>405</v>
      </c>
      <c r="F91" s="320"/>
      <c r="G91" s="320"/>
      <c r="H91" s="321"/>
      <c r="I91" s="7"/>
      <c r="J91" s="4"/>
      <c r="K91" s="5"/>
    </row>
    <row r="92" spans="1:11" s="6" customFormat="1" ht="49.8" customHeight="1" x14ac:dyDescent="0.25">
      <c r="A92" s="20" t="s">
        <v>264</v>
      </c>
      <c r="B92" s="34" t="str">
        <f>'Planilha Orçamentária'!C95</f>
        <v>ALVENARIA DE VEDAÇÃO DE BLOCOS CERÂMICOS FURADOS NA HORIZONTAL DE 9X19X19 CM (ESPESSURA 9 CM) E ARGAMASSA DE ASSENTAMENTO COM PREPARO EM BETONEIRA. AF_12/2021</v>
      </c>
      <c r="C92" s="21" t="str">
        <f>'Planilha Orçamentária'!D95</f>
        <v>M2</v>
      </c>
      <c r="D92" s="50">
        <v>18.579999999999998</v>
      </c>
      <c r="E92" s="319" t="s">
        <v>406</v>
      </c>
      <c r="F92" s="320"/>
      <c r="G92" s="320"/>
      <c r="H92" s="321"/>
      <c r="I92" s="7">
        <f>((1.7+1.4+1.4)*2.8)+(((2+2+1.4+1.4)-1.68)*2.8)</f>
        <v>26.936</v>
      </c>
      <c r="J92" s="4"/>
      <c r="K92" s="5"/>
    </row>
    <row r="93" spans="1:11" s="6" customFormat="1" ht="40.200000000000003" customHeight="1" x14ac:dyDescent="0.25">
      <c r="A93" s="20" t="s">
        <v>370</v>
      </c>
      <c r="B93" s="34" t="str">
        <f>'Planilha Orçamentária'!C96</f>
        <v>CHAPISCO COM ARGAMASSA, TRAÇO 1:2:3 (CIMENTO, AREIA E
 PEDRISCO), APLICADO COM COLHER, ESP. 5MM, INCLUSIVE
 ARGAMASSA COM PREPARO MECANIZADO</v>
      </c>
      <c r="C93" s="21" t="str">
        <f>'Planilha Orçamentária'!D96</f>
        <v>M2</v>
      </c>
      <c r="D93" s="50">
        <v>22.49</v>
      </c>
      <c r="E93" s="319" t="s">
        <v>407</v>
      </c>
      <c r="F93" s="320"/>
      <c r="G93" s="320"/>
      <c r="H93" s="321"/>
      <c r="I93" s="7"/>
      <c r="J93" s="4"/>
      <c r="K93" s="5"/>
    </row>
    <row r="94" spans="1:11" s="6" customFormat="1" ht="43.8" customHeight="1" x14ac:dyDescent="0.25">
      <c r="A94" s="20" t="s">
        <v>371</v>
      </c>
      <c r="B94" s="34" t="str">
        <f>'Planilha Orçamentária'!C97</f>
        <v>REBOCO COM ARGAMASSA, TRAÇO 1:7 (CIMENTO E AREIA), ESP.
 20MM, APLICAÇÃO MANUAL, INCLUSIVE ARGAMASSA COM
 PREPARO MECANIZADO, EXCLUSIVE CHAPISCO</v>
      </c>
      <c r="C94" s="21" t="str">
        <f>'Planilha Orçamentária'!D97</f>
        <v>M2</v>
      </c>
      <c r="D94" s="50">
        <v>22.49</v>
      </c>
      <c r="E94" s="319" t="s">
        <v>407</v>
      </c>
      <c r="F94" s="320"/>
      <c r="G94" s="320"/>
      <c r="H94" s="321"/>
      <c r="I94" s="7">
        <f>(((6.3+6.3+3.85+3.85+2.15+1.4)*3.15)+((6.85+6.85+6)*1))-1.68-1.68-1.8-1.8-1.5</f>
        <v>86.367499999999993</v>
      </c>
      <c r="J94" s="4"/>
      <c r="K94" s="5"/>
    </row>
    <row r="95" spans="1:11" s="6" customFormat="1" ht="48" customHeight="1" x14ac:dyDescent="0.25">
      <c r="A95" s="20" t="s">
        <v>372</v>
      </c>
      <c r="B95" s="34" t="str">
        <f>'Planilha Orçamentária'!C98</f>
        <v>PREPARAÇÃO PARA EMASSAMENTO OU PINTURA (LÁTEX/
 ACRÍLICA) EM PAREDE, INCLUSIVE UMA (1) DEMÃO DE SELADOR
 ACRÍLICO</v>
      </c>
      <c r="C95" s="21" t="str">
        <f>'Planilha Orçamentária'!D98</f>
        <v>M2</v>
      </c>
      <c r="D95" s="50">
        <f>D94</f>
        <v>22.49</v>
      </c>
      <c r="E95" s="319" t="s">
        <v>407</v>
      </c>
      <c r="F95" s="320"/>
      <c r="G95" s="320"/>
      <c r="H95" s="321"/>
      <c r="I95" s="7"/>
      <c r="J95" s="4"/>
      <c r="K95" s="5"/>
    </row>
    <row r="96" spans="1:11" s="6" customFormat="1" ht="48" customHeight="1" x14ac:dyDescent="0.25">
      <c r="A96" s="20" t="s">
        <v>387</v>
      </c>
      <c r="B96" s="34" t="str">
        <f>'Planilha Orçamentária'!C99</f>
        <v>PINTURA ACRÍLICA EM PAREDE, DUAS (2) DEMÃOS, COM
 APLICAÇÃO MANUAL, EXCLUSIVE SELADOR ACRÍLICO E MASSA
 ACRÍLICA/CORRIDA (PVA)</v>
      </c>
      <c r="C96" s="21" t="str">
        <f>'Planilha Orçamentária'!D99</f>
        <v>M2</v>
      </c>
      <c r="D96" s="50">
        <f>D95</f>
        <v>22.49</v>
      </c>
      <c r="E96" s="319" t="s">
        <v>407</v>
      </c>
      <c r="F96" s="320"/>
      <c r="G96" s="320"/>
      <c r="H96" s="321"/>
      <c r="I96" s="7">
        <f>((((1.7+1.4+1.55+2+2+1.4+1.4)*3.15)-1.68))</f>
        <v>34.387499999999996</v>
      </c>
      <c r="J96" s="4"/>
      <c r="K96" s="5"/>
    </row>
    <row r="97" spans="1:11" s="6" customFormat="1" ht="40.799999999999997" customHeight="1" x14ac:dyDescent="0.25">
      <c r="A97" s="20" t="s">
        <v>408</v>
      </c>
      <c r="B97" s="34" t="str">
        <f>'Planilha Orçamentária'!C100</f>
        <v>Luminaria de teto plafon/plafonier em plastico com base e27, potencia maxima 60 w (nao inclui lampada)</v>
      </c>
      <c r="C97" s="21" t="str">
        <f>'Planilha Orçamentária'!D100</f>
        <v>UND</v>
      </c>
      <c r="D97" s="50">
        <v>1</v>
      </c>
      <c r="E97" s="319" t="s">
        <v>411</v>
      </c>
      <c r="F97" s="320"/>
      <c r="G97" s="320"/>
      <c r="H97" s="321"/>
      <c r="I97" s="7"/>
      <c r="J97" s="4"/>
      <c r="K97" s="5"/>
    </row>
    <row r="98" spans="1:11" s="6" customFormat="1" ht="32.4" customHeight="1" x14ac:dyDescent="0.25">
      <c r="A98" s="20" t="s">
        <v>409</v>
      </c>
      <c r="B98" s="34" t="str">
        <f>'Planilha Orçamentária'!C101</f>
        <v>Lâmpada led 50w de potência, luz branca bivolt, marca LLum ou similar</v>
      </c>
      <c r="C98" s="21" t="str">
        <f>'Planilha Orçamentária'!D101</f>
        <v>UND</v>
      </c>
      <c r="D98" s="50">
        <v>1</v>
      </c>
      <c r="E98" s="319" t="s">
        <v>411</v>
      </c>
      <c r="F98" s="320"/>
      <c r="G98" s="320"/>
      <c r="H98" s="321"/>
      <c r="I98" s="7"/>
      <c r="J98" s="4"/>
      <c r="K98" s="5"/>
    </row>
    <row r="99" spans="1:11" s="6" customFormat="1" ht="26.4" customHeight="1" x14ac:dyDescent="0.25">
      <c r="A99" s="20" t="s">
        <v>410</v>
      </c>
      <c r="B99" s="34" t="str">
        <f>'Planilha Orçamentária'!C102</f>
        <v>Ponto de luz em teto ou parede, com eletroduto pvc rígido embutido Ø 3/4"</v>
      </c>
      <c r="C99" s="21" t="str">
        <f>'Planilha Orçamentária'!D102</f>
        <v>UND</v>
      </c>
      <c r="D99" s="50">
        <v>1</v>
      </c>
      <c r="E99" s="319" t="s">
        <v>411</v>
      </c>
      <c r="F99" s="320"/>
      <c r="G99" s="320"/>
      <c r="H99" s="321"/>
      <c r="I99" s="7"/>
      <c r="J99" s="4"/>
      <c r="K99" s="5"/>
    </row>
    <row r="100" spans="1:11" s="6" customFormat="1" ht="40.200000000000003" customHeight="1" x14ac:dyDescent="0.25">
      <c r="A100" s="102" t="s">
        <v>67</v>
      </c>
      <c r="B100" s="44" t="s">
        <v>112</v>
      </c>
      <c r="C100" s="43"/>
      <c r="D100" s="104"/>
      <c r="E100" s="322"/>
      <c r="F100" s="323"/>
      <c r="G100" s="323"/>
      <c r="H100" s="324"/>
      <c r="I100" s="7"/>
      <c r="J100" s="4"/>
      <c r="K100" s="5"/>
    </row>
    <row r="101" spans="1:11" s="6" customFormat="1" ht="40.200000000000003" customHeight="1" x14ac:dyDescent="0.25">
      <c r="A101" s="20" t="s">
        <v>68</v>
      </c>
      <c r="B101" s="153" t="s">
        <v>296</v>
      </c>
      <c r="C101" s="21" t="str">
        <f>'Planilha Orçamentária'!D104</f>
        <v>UND</v>
      </c>
      <c r="D101" s="50">
        <v>2</v>
      </c>
      <c r="E101" s="319" t="s">
        <v>384</v>
      </c>
      <c r="F101" s="320"/>
      <c r="G101" s="320"/>
      <c r="H101" s="321"/>
      <c r="I101" s="7"/>
      <c r="J101" s="4"/>
      <c r="K101" s="5"/>
    </row>
    <row r="102" spans="1:11" s="6" customFormat="1" ht="47.4" customHeight="1" x14ac:dyDescent="0.25">
      <c r="A102" s="20" t="s">
        <v>69</v>
      </c>
      <c r="B102" s="153" t="s">
        <v>156</v>
      </c>
      <c r="C102" s="21" t="str">
        <f>'Planilha Orçamentária'!D105</f>
        <v>UND</v>
      </c>
      <c r="D102" s="50">
        <v>1</v>
      </c>
      <c r="E102" s="319" t="s">
        <v>233</v>
      </c>
      <c r="F102" s="320"/>
      <c r="G102" s="320"/>
      <c r="H102" s="321"/>
      <c r="I102" s="7"/>
      <c r="J102" s="4"/>
      <c r="K102" s="5"/>
    </row>
    <row r="103" spans="1:11" s="6" customFormat="1" ht="66" customHeight="1" x14ac:dyDescent="0.25">
      <c r="A103" s="20" t="s">
        <v>84</v>
      </c>
      <c r="B103" s="34" t="s">
        <v>158</v>
      </c>
      <c r="C103" s="21" t="str">
        <f>'Planilha Orçamentária'!D106</f>
        <v>UND</v>
      </c>
      <c r="D103" s="50">
        <v>13</v>
      </c>
      <c r="E103" s="319" t="s">
        <v>418</v>
      </c>
      <c r="F103" s="320"/>
      <c r="G103" s="320"/>
      <c r="H103" s="321"/>
      <c r="I103" s="7"/>
      <c r="J103" s="4"/>
      <c r="K103" s="5"/>
    </row>
    <row r="104" spans="1:11" s="6" customFormat="1" ht="40.200000000000003" customHeight="1" x14ac:dyDescent="0.25">
      <c r="A104" s="20" t="s">
        <v>162</v>
      </c>
      <c r="B104" s="153" t="s">
        <v>412</v>
      </c>
      <c r="C104" s="21" t="str">
        <f>'Planilha Orçamentária'!D107</f>
        <v>UND</v>
      </c>
      <c r="D104" s="50">
        <v>8</v>
      </c>
      <c r="E104" s="319" t="s">
        <v>413</v>
      </c>
      <c r="F104" s="320"/>
      <c r="G104" s="320"/>
      <c r="H104" s="321"/>
      <c r="I104" s="7"/>
      <c r="J104" s="4"/>
      <c r="K104" s="5"/>
    </row>
    <row r="105" spans="1:11" s="6" customFormat="1" ht="40.200000000000003" customHeight="1" x14ac:dyDescent="0.25">
      <c r="A105" s="20" t="s">
        <v>168</v>
      </c>
      <c r="B105" s="153" t="s">
        <v>414</v>
      </c>
      <c r="C105" s="21" t="str">
        <f>'Planilha Orçamentária'!D108</f>
        <v>UND</v>
      </c>
      <c r="D105" s="50">
        <v>3</v>
      </c>
      <c r="E105" s="319" t="s">
        <v>339</v>
      </c>
      <c r="F105" s="320"/>
      <c r="G105" s="320"/>
      <c r="H105" s="321"/>
      <c r="I105" s="7"/>
      <c r="J105" s="4"/>
      <c r="K105" s="5"/>
    </row>
    <row r="106" spans="1:11" s="6" customFormat="1" ht="32.4" customHeight="1" x14ac:dyDescent="0.25">
      <c r="A106" s="20" t="s">
        <v>163</v>
      </c>
      <c r="B106" s="34" t="s">
        <v>340</v>
      </c>
      <c r="C106" s="21" t="str">
        <f>'Planilha Orçamentária'!D109</f>
        <v>UND</v>
      </c>
      <c r="D106" s="50">
        <v>11</v>
      </c>
      <c r="E106" s="319" t="s">
        <v>417</v>
      </c>
      <c r="F106" s="320"/>
      <c r="G106" s="320"/>
      <c r="H106" s="321"/>
      <c r="I106" s="7"/>
      <c r="J106" s="4"/>
      <c r="K106" s="5"/>
    </row>
    <row r="107" spans="1:11" s="6" customFormat="1" ht="49.2" customHeight="1" x14ac:dyDescent="0.25">
      <c r="A107" s="20" t="s">
        <v>169</v>
      </c>
      <c r="B107" s="106" t="s">
        <v>342</v>
      </c>
      <c r="C107" s="21" t="str">
        <f>'Planilha Orçamentária'!D110</f>
        <v>UND</v>
      </c>
      <c r="D107" s="50">
        <v>1</v>
      </c>
      <c r="E107" s="319" t="s">
        <v>233</v>
      </c>
      <c r="F107" s="320"/>
      <c r="G107" s="320"/>
      <c r="H107" s="321"/>
      <c r="I107" s="7"/>
      <c r="J107" s="4"/>
      <c r="K107" s="5"/>
    </row>
    <row r="108" spans="1:11" s="6" customFormat="1" ht="40.200000000000003" customHeight="1" x14ac:dyDescent="0.25">
      <c r="A108" s="20" t="s">
        <v>388</v>
      </c>
      <c r="B108" s="106" t="s">
        <v>360</v>
      </c>
      <c r="C108" s="21" t="str">
        <f>'Planilha Orçamentária'!D111</f>
        <v>UND</v>
      </c>
      <c r="D108" s="50">
        <v>1</v>
      </c>
      <c r="E108" s="319" t="s">
        <v>233</v>
      </c>
      <c r="F108" s="320"/>
      <c r="G108" s="320"/>
      <c r="H108" s="321"/>
      <c r="I108" s="7"/>
      <c r="J108" s="4"/>
      <c r="K108" s="5"/>
    </row>
    <row r="109" spans="1:11" s="6" customFormat="1" ht="40.799999999999997" customHeight="1" x14ac:dyDescent="0.25">
      <c r="A109" s="20" t="s">
        <v>389</v>
      </c>
      <c r="B109" s="106" t="s">
        <v>362</v>
      </c>
      <c r="C109" s="21" t="str">
        <f>'Planilha Orçamentária'!D112</f>
        <v>UND</v>
      </c>
      <c r="D109" s="50">
        <v>2</v>
      </c>
      <c r="E109" s="319" t="s">
        <v>274</v>
      </c>
      <c r="F109" s="320"/>
      <c r="G109" s="320"/>
      <c r="H109" s="321"/>
      <c r="I109" s="7"/>
      <c r="J109" s="4"/>
      <c r="K109" s="5"/>
    </row>
    <row r="110" spans="1:11" s="6" customFormat="1" ht="40.799999999999997" customHeight="1" x14ac:dyDescent="0.25">
      <c r="A110" s="20" t="s">
        <v>390</v>
      </c>
      <c r="B110" s="106" t="s">
        <v>364</v>
      </c>
      <c r="C110" s="21" t="str">
        <f>'Planilha Orçamentária'!D113</f>
        <v>UND</v>
      </c>
      <c r="D110" s="50">
        <v>1</v>
      </c>
      <c r="E110" s="319" t="s">
        <v>233</v>
      </c>
      <c r="F110" s="320"/>
      <c r="G110" s="320"/>
      <c r="H110" s="321"/>
      <c r="I110" s="7"/>
      <c r="J110" s="4"/>
      <c r="K110" s="5"/>
    </row>
    <row r="111" spans="1:11" s="6" customFormat="1" ht="72" customHeight="1" x14ac:dyDescent="0.25">
      <c r="A111" s="20" t="s">
        <v>391</v>
      </c>
      <c r="B111" s="106" t="s">
        <v>366</v>
      </c>
      <c r="C111" s="21" t="str">
        <f>'Planilha Orçamentária'!D114</f>
        <v>UND</v>
      </c>
      <c r="D111" s="50">
        <v>2</v>
      </c>
      <c r="E111" s="319" t="s">
        <v>274</v>
      </c>
      <c r="F111" s="320"/>
      <c r="G111" s="320"/>
      <c r="H111" s="321"/>
      <c r="I111" s="7"/>
      <c r="J111" s="4"/>
      <c r="K111" s="5"/>
    </row>
    <row r="112" spans="1:11" s="6" customFormat="1" ht="40.799999999999997" customHeight="1" x14ac:dyDescent="0.25">
      <c r="A112" s="20" t="s">
        <v>392</v>
      </c>
      <c r="B112" s="106" t="s">
        <v>368</v>
      </c>
      <c r="C112" s="21" t="str">
        <f>'Planilha Orçamentária'!D115</f>
        <v>UND</v>
      </c>
      <c r="D112" s="50">
        <v>1</v>
      </c>
      <c r="E112" s="319" t="s">
        <v>233</v>
      </c>
      <c r="F112" s="320"/>
      <c r="G112" s="320"/>
      <c r="H112" s="321"/>
      <c r="I112" s="7"/>
      <c r="J112" s="4"/>
      <c r="K112" s="5"/>
    </row>
    <row r="113" spans="1:11" s="6" customFormat="1" ht="40.799999999999997" customHeight="1" x14ac:dyDescent="0.25">
      <c r="A113" s="20" t="s">
        <v>393</v>
      </c>
      <c r="B113" s="34" t="s">
        <v>154</v>
      </c>
      <c r="C113" s="21" t="str">
        <f>'Planilha Orçamentária'!D116</f>
        <v>UND</v>
      </c>
      <c r="D113" s="50">
        <v>2</v>
      </c>
      <c r="E113" s="319" t="s">
        <v>274</v>
      </c>
      <c r="F113" s="320"/>
      <c r="G113" s="320"/>
      <c r="H113" s="321"/>
      <c r="I113" s="7"/>
      <c r="J113" s="4"/>
      <c r="K113" s="5"/>
    </row>
    <row r="114" spans="1:11" s="6" customFormat="1" ht="49.2" customHeight="1" thickBot="1" x14ac:dyDescent="0.3">
      <c r="A114" s="20" t="s">
        <v>416</v>
      </c>
      <c r="B114" s="106" t="s">
        <v>385</v>
      </c>
      <c r="C114" s="21" t="str">
        <f>'Planilha Orçamentária'!D117</f>
        <v>UND</v>
      </c>
      <c r="D114" s="50">
        <v>1</v>
      </c>
      <c r="E114" s="319" t="s">
        <v>233</v>
      </c>
      <c r="F114" s="320"/>
      <c r="G114" s="320"/>
      <c r="H114" s="321"/>
      <c r="I114" s="7"/>
      <c r="J114" s="4"/>
      <c r="K114" s="5"/>
    </row>
    <row r="115" spans="1:11" s="6" customFormat="1" ht="34.799999999999997" customHeight="1" thickBot="1" x14ac:dyDescent="0.3">
      <c r="A115" s="325" t="s">
        <v>327</v>
      </c>
      <c r="B115" s="326"/>
      <c r="C115" s="326"/>
      <c r="D115" s="326"/>
      <c r="E115" s="326"/>
      <c r="F115" s="326"/>
      <c r="G115" s="326"/>
      <c r="H115" s="327"/>
      <c r="I115" s="7"/>
      <c r="J115" s="4"/>
      <c r="K115" s="5"/>
    </row>
    <row r="116" spans="1:11" s="6" customFormat="1" ht="40.200000000000003" customHeight="1" x14ac:dyDescent="0.25">
      <c r="A116" s="102" t="s">
        <v>46</v>
      </c>
      <c r="B116" s="44" t="s">
        <v>328</v>
      </c>
      <c r="C116" s="43"/>
      <c r="D116" s="104"/>
      <c r="E116" s="322"/>
      <c r="F116" s="323"/>
      <c r="G116" s="323"/>
      <c r="H116" s="324"/>
      <c r="I116" s="7"/>
      <c r="J116" s="4"/>
      <c r="K116" s="5"/>
    </row>
    <row r="117" spans="1:11" s="6" customFormat="1" ht="77.400000000000006" customHeight="1" x14ac:dyDescent="0.25">
      <c r="A117" s="20" t="s">
        <v>47</v>
      </c>
      <c r="B117" s="34" t="str">
        <f>'Planilha Orçamentária'!C121</f>
        <v>FORNECIMENTO E COLOCAÇÃO DE PLACA DE OBRA EM CHAPA
GALVANIZADA (3,00 X 1,5 0 M) - EM CHAPA GALVANIZADA 0,26
AFIXADAS COM REBITES 540 E PARAFUSOS 3/8, EM ESTRUTURA
METÁLICA VIGA U 2" ENRIJECIDA COM METALON 20 X 20, SUPORTE
EM EUCALIPTO AUTOCLAVADO PINTADAS</v>
      </c>
      <c r="C117" s="21" t="str">
        <f>'Planilha Orçamentária'!D121</f>
        <v>UND</v>
      </c>
      <c r="D117" s="50">
        <v>1</v>
      </c>
      <c r="E117" s="319" t="s">
        <v>233</v>
      </c>
      <c r="F117" s="320"/>
      <c r="G117" s="320"/>
      <c r="H117" s="321"/>
      <c r="I117" s="7"/>
      <c r="J117" s="4"/>
      <c r="K117" s="5"/>
    </row>
    <row r="118" spans="1:11" s="6" customFormat="1" ht="70.2" customHeight="1" x14ac:dyDescent="0.25">
      <c r="A118" s="20" t="s">
        <v>96</v>
      </c>
      <c r="B118" s="34" t="str">
        <f>'Planilha Orçamentária'!C122</f>
        <v>LOCAÇÃO DE OBRA COM GABARITO DE TÁBUAS CORRIDAS
PONTALETADAS A CADA 2,00M, REAPROVEITAMENTO (2X),
INCLUSIVE ACOMPANHAMENTO DE EQUIPE TOPOGRÁFICA PARA
MARCAÇÃO DE PONTO TOPOGRÁFICO</v>
      </c>
      <c r="C118" s="21" t="str">
        <f>'Planilha Orçamentária'!D122</f>
        <v>M</v>
      </c>
      <c r="D118" s="50">
        <v>88</v>
      </c>
      <c r="E118" s="319" t="s">
        <v>373</v>
      </c>
      <c r="F118" s="320"/>
      <c r="G118" s="320"/>
      <c r="H118" s="321"/>
      <c r="I118" s="7">
        <f>24+20+24+20</f>
        <v>88</v>
      </c>
      <c r="J118" s="4"/>
      <c r="K118" s="5"/>
    </row>
    <row r="119" spans="1:11" s="6" customFormat="1" ht="40.200000000000003" customHeight="1" x14ac:dyDescent="0.25">
      <c r="A119" s="102" t="s">
        <v>51</v>
      </c>
      <c r="B119" s="44" t="s">
        <v>326</v>
      </c>
      <c r="C119" s="43"/>
      <c r="D119" s="104"/>
      <c r="E119" s="322"/>
      <c r="F119" s="323"/>
      <c r="G119" s="323"/>
      <c r="H119" s="324"/>
      <c r="I119" s="7"/>
      <c r="J119" s="4"/>
      <c r="K119" s="5"/>
    </row>
    <row r="120" spans="1:11" s="6" customFormat="1" ht="40.200000000000003" customHeight="1" x14ac:dyDescent="0.25">
      <c r="A120" s="20" t="s">
        <v>52</v>
      </c>
      <c r="B120" s="34" t="str">
        <f>'Planilha Orçamentária'!C124</f>
        <v>ESCAVAÇÃO MANUAL DE VALA PARA VIGA BALDRAME (INCLUINDO ESCAVAÇÃO PARA COLOCAÇÃO DE FÔRMAS). AF_06/2017</v>
      </c>
      <c r="C120" s="21" t="str">
        <f>'Planilha Orçamentária'!D124</f>
        <v>M3</v>
      </c>
      <c r="D120" s="50">
        <f>(88+24+10)*0.1*0.15</f>
        <v>1.83</v>
      </c>
      <c r="E120" s="319" t="s">
        <v>374</v>
      </c>
      <c r="F120" s="320"/>
      <c r="G120" s="320"/>
      <c r="H120" s="321"/>
      <c r="I120" s="7">
        <f>88+24+10</f>
        <v>122</v>
      </c>
      <c r="J120" s="4"/>
      <c r="K120" s="5"/>
    </row>
    <row r="121" spans="1:11" s="6" customFormat="1" ht="40.200000000000003" customHeight="1" x14ac:dyDescent="0.25">
      <c r="A121" s="20" t="s">
        <v>53</v>
      </c>
      <c r="B121" s="34" t="str">
        <f>'Planilha Orçamentária'!C125</f>
        <v>FÔRMA E DESFORMA DE TÁBUA E SARRAFO, REAPROVEITAMENTO (3X) (FUNDAÇÃO)</v>
      </c>
      <c r="C121" s="21" t="str">
        <f>'Planilha Orçamentária'!D125</f>
        <v>M2</v>
      </c>
      <c r="D121" s="50">
        <f>((88+24+10)/3)*0.25*2</f>
        <v>20.333333333333332</v>
      </c>
      <c r="E121" s="319" t="s">
        <v>375</v>
      </c>
      <c r="F121" s="320"/>
      <c r="G121" s="320"/>
      <c r="H121" s="321"/>
      <c r="I121" s="7"/>
      <c r="J121" s="4"/>
      <c r="K121" s="5"/>
    </row>
    <row r="122" spans="1:11" s="6" customFormat="1" ht="31.2" customHeight="1" x14ac:dyDescent="0.25">
      <c r="A122" s="20" t="s">
        <v>258</v>
      </c>
      <c r="B122" s="34" t="str">
        <f>'Planilha Orçamentária'!C126</f>
        <v>Armação em aço CA-50 - fornecimento, preparo e colocação - 8.00 MM</v>
      </c>
      <c r="C122" s="21" t="str">
        <f>'Planilha Orçamentária'!D126</f>
        <v>KG</v>
      </c>
      <c r="D122" s="50">
        <f>122*4*0.395</f>
        <v>192.76000000000002</v>
      </c>
      <c r="E122" s="319" t="s">
        <v>376</v>
      </c>
      <c r="F122" s="320"/>
      <c r="G122" s="320"/>
      <c r="H122" s="321"/>
      <c r="I122" s="7"/>
      <c r="J122" s="4"/>
      <c r="K122" s="5"/>
    </row>
    <row r="123" spans="1:11" s="6" customFormat="1" ht="51.6" customHeight="1" x14ac:dyDescent="0.25">
      <c r="A123" s="20" t="s">
        <v>259</v>
      </c>
      <c r="B123" s="34" t="str">
        <f>'Planilha Orçamentária'!C127</f>
        <v>FORNECIMENTO DE CONCRETO ESTRUTURAL, PREPARADO EM
 OBRA COM BETONEIRA, COM FCK 20MPA, INCLUSIVE
 LANÇAMENTO, ADENSAMENTO E ACABAMENTO (FUNDAÇÃO)</v>
      </c>
      <c r="C123" s="21" t="str">
        <f>'Planilha Orçamentária'!D127</f>
        <v>M3</v>
      </c>
      <c r="D123" s="50">
        <f>122*0.25*0.15</f>
        <v>4.5750000000000002</v>
      </c>
      <c r="E123" s="319" t="s">
        <v>377</v>
      </c>
      <c r="F123" s="320"/>
      <c r="G123" s="320"/>
      <c r="H123" s="321"/>
      <c r="I123" s="7"/>
      <c r="J123" s="4"/>
      <c r="K123" s="5"/>
    </row>
    <row r="124" spans="1:11" s="6" customFormat="1" ht="69.599999999999994" customHeight="1" x14ac:dyDescent="0.25">
      <c r="A124" s="20" t="s">
        <v>260</v>
      </c>
      <c r="B124" s="34" t="str">
        <f>'Planilha Orçamentária'!C128</f>
        <v xml:space="preserve"> ALAMBRADO PARA QUADRA ESPORTIVA, EM TELA DE ARAME
 GALVANIZADO COM TRAMA LOSANGULAR DE 2" (50,8MM) E FIO
 BWG12 (2,77MM), EXCLUSIVE PINTURA, INCLUSIVE FIXAÇÃO E
 FORNECIMENTO EM QUADROS DE TUBOS DE AÇO CARBONO
 GALVANIZADO DIÂMETRO DE 50MM (2")</v>
      </c>
      <c r="C124" s="21" t="str">
        <f>'Planilha Orçamentária'!D128</f>
        <v>M2</v>
      </c>
      <c r="D124" s="50">
        <f>78*1.2</f>
        <v>93.6</v>
      </c>
      <c r="E124" s="319" t="s">
        <v>378</v>
      </c>
      <c r="F124" s="320"/>
      <c r="G124" s="320"/>
      <c r="H124" s="321"/>
      <c r="I124" s="7">
        <f>24+10+24+10+10</f>
        <v>78</v>
      </c>
      <c r="J124" s="4"/>
      <c r="K124" s="5"/>
    </row>
    <row r="125" spans="1:11" s="6" customFormat="1" ht="66" customHeight="1" x14ac:dyDescent="0.25">
      <c r="A125" s="20" t="s">
        <v>261</v>
      </c>
      <c r="B125" s="34" t="str">
        <f>'Planilha Orçamentária'!C129</f>
        <v>PORTÃO EM TUBO DE AÇO GALVANIZADO COM COSTURA,
 DIÂMETRO DE 1.1/2" (38,1MM), ESP. 2MM, COM TELA
 QUADRICULADA ONDULADA, TRAMA DE 1/2" (12,70MM), FIO 12 (2,
 77MM), EXCLUSIVE CADEADO E PINTURA</v>
      </c>
      <c r="C125" s="21" t="str">
        <f>'Planilha Orçamentária'!D129</f>
        <v>M2</v>
      </c>
      <c r="D125" s="50">
        <f>(0.9*1.5)*2</f>
        <v>2.7</v>
      </c>
      <c r="E125" s="319" t="s">
        <v>379</v>
      </c>
      <c r="F125" s="320"/>
      <c r="G125" s="320"/>
      <c r="H125" s="321"/>
      <c r="I125" s="7"/>
      <c r="J125" s="4"/>
      <c r="K125" s="5"/>
    </row>
    <row r="126" spans="1:11" s="6" customFormat="1" ht="63.6" customHeight="1" x14ac:dyDescent="0.25">
      <c r="A126" s="20" t="s">
        <v>262</v>
      </c>
      <c r="B126" s="34" t="str">
        <f>'Planilha Orçamentária'!C130</f>
        <v>PINTURA ESMALTE BASE SOLVENTE EM ESTRUTURA DE AÇO
 CARBONO, DUAS (2) DEMÃOS, COM APLICAÇÃO MANUAL,
 EXCLUSIVE FUNDO ANTICORROSIVO E PREPARAÇÃO DA
 SUPERFÍCIE COM LIXAMENTO</v>
      </c>
      <c r="C126" s="21" t="str">
        <f>'Planilha Orçamentária'!D130</f>
        <v>M2</v>
      </c>
      <c r="D126" s="50">
        <f>(93.6*2)+(2.7*2)</f>
        <v>192.6</v>
      </c>
      <c r="E126" s="319" t="s">
        <v>380</v>
      </c>
      <c r="F126" s="320"/>
      <c r="G126" s="320"/>
      <c r="H126" s="321"/>
      <c r="I126" s="7"/>
      <c r="J126" s="4"/>
      <c r="K126" s="5"/>
    </row>
    <row r="127" spans="1:11" s="6" customFormat="1" ht="40.200000000000003" customHeight="1" x14ac:dyDescent="0.25">
      <c r="A127" s="102" t="s">
        <v>57</v>
      </c>
      <c r="B127" s="44" t="s">
        <v>113</v>
      </c>
      <c r="C127" s="43"/>
      <c r="D127" s="104"/>
      <c r="E127" s="322"/>
      <c r="F127" s="323"/>
      <c r="G127" s="323"/>
      <c r="H127" s="324"/>
      <c r="I127" s="7"/>
      <c r="J127" s="4"/>
      <c r="K127" s="5"/>
    </row>
    <row r="128" spans="1:11" s="6" customFormat="1" ht="54.6" customHeight="1" x14ac:dyDescent="0.25">
      <c r="A128" s="20" t="s">
        <v>58</v>
      </c>
      <c r="B128" s="34" t="str">
        <f>'Planilha Orçamentária'!C132</f>
        <v>PISO CIMENTADO NATADO COM ARGAMASSA, ACABAMENTO
 QUEIMADO, TRAÇO 1:3 (CIMENTO E AREIA), ESP. 25MM,
 MODULAÇÃO DE (200X200)CM, INCLUSIVE JUNTA PLÁSTICA</v>
      </c>
      <c r="C128" s="21" t="str">
        <f>'Planilha Orçamentária'!D132</f>
        <v>M2</v>
      </c>
      <c r="D128" s="50">
        <v>240</v>
      </c>
      <c r="E128" s="319" t="s">
        <v>381</v>
      </c>
      <c r="F128" s="320"/>
      <c r="G128" s="320"/>
      <c r="H128" s="321"/>
      <c r="I128" s="7"/>
      <c r="J128" s="4"/>
      <c r="K128" s="5"/>
    </row>
    <row r="129" spans="1:12" s="6" customFormat="1" ht="75.599999999999994" customHeight="1" x14ac:dyDescent="0.25">
      <c r="A129" s="20" t="s">
        <v>59</v>
      </c>
      <c r="B129" s="34" t="str">
        <f>'Planilha Orçamentária'!C133</f>
        <v>PISO EM CONCRETO USINADO CONVENCIONAL COM DE FCK
 15MPA, COM TELA SOLDADA NERVURADA TIPO Q-138,
 ACABAMENTO POLÍDO EM NÍVEL ZERO, ESP. 12CM, INCLUSIVE
 FORNECIMENTO, LANÇAMENTO, ADENSAMENTO, EXCLUSIVE
 JUNTA DE DILATAÇÃO</v>
      </c>
      <c r="C129" s="21" t="str">
        <f>'Planilha Orçamentária'!D133</f>
        <v>M2</v>
      </c>
      <c r="D129" s="50">
        <f>24*10</f>
        <v>240</v>
      </c>
      <c r="E129" s="319" t="s">
        <v>381</v>
      </c>
      <c r="F129" s="320"/>
      <c r="G129" s="320"/>
      <c r="H129" s="321"/>
      <c r="I129" s="7"/>
      <c r="J129" s="4"/>
      <c r="K129" s="5"/>
    </row>
    <row r="130" spans="1:12" s="6" customFormat="1" ht="40.200000000000003" customHeight="1" x14ac:dyDescent="0.25">
      <c r="A130" s="20" t="s">
        <v>159</v>
      </c>
      <c r="B130" s="34" t="str">
        <f>'Planilha Orçamentária'!C134</f>
        <v>AREIA FINA - POSTO JAZIDA/FORNECEDOR (RETIRADO NA JAZIDA, SEM TRANSPORTE)</v>
      </c>
      <c r="C130" s="21" t="str">
        <f>'Planilha Orçamentária'!D134</f>
        <v>M3</v>
      </c>
      <c r="D130" s="50">
        <f>24*10*0.15</f>
        <v>36</v>
      </c>
      <c r="E130" s="319" t="s">
        <v>382</v>
      </c>
      <c r="F130" s="320"/>
      <c r="G130" s="320"/>
      <c r="H130" s="321"/>
      <c r="I130" s="7"/>
      <c r="J130" s="4"/>
      <c r="K130" s="5"/>
    </row>
    <row r="131" spans="1:12" s="6" customFormat="1" ht="51.6" customHeight="1" x14ac:dyDescent="0.25">
      <c r="A131" s="20" t="s">
        <v>160</v>
      </c>
      <c r="B131" s="34" t="str">
        <f>'Planilha Orçamentária'!C135</f>
        <v>TRANSPORTE DE MATERIAL DE QUALQUER NATUREZA EM
 CAMINHÃO, DISTÂNCIA MAIORES QUE 30KM, DENTRO DO
 PERÍMETRO URBANO, EXCLUSIVE CARGA, INCLUSIVE DESCARGA</v>
      </c>
      <c r="C131" s="21" t="str">
        <f>'Planilha Orçamentária'!D135</f>
        <v>M3XKM</v>
      </c>
      <c r="D131" s="50">
        <f>24*10*0.15*24</f>
        <v>864</v>
      </c>
      <c r="E131" s="319" t="s">
        <v>383</v>
      </c>
      <c r="F131" s="320"/>
      <c r="G131" s="320"/>
      <c r="H131" s="321"/>
      <c r="I131" s="7"/>
      <c r="J131" s="4"/>
      <c r="K131" s="5"/>
    </row>
    <row r="132" spans="1:12" s="6" customFormat="1" ht="40.200000000000003" customHeight="1" x14ac:dyDescent="0.25">
      <c r="A132" s="20" t="s">
        <v>161</v>
      </c>
      <c r="B132" s="34" t="str">
        <f>'Planilha Orçamentária'!C136</f>
        <v>PINTURA EPÓXI EM PISO, DUAS (2) DEMÃOS, COM APLICAÇÃO
 MANUAL, INCLUSIVE UMA (1) DEMÃO DE PRIMER EPÓXI</v>
      </c>
      <c r="C132" s="21" t="str">
        <f>'Planilha Orçamentária'!D136</f>
        <v>M2</v>
      </c>
      <c r="D132" s="50">
        <v>240</v>
      </c>
      <c r="E132" s="319" t="s">
        <v>381</v>
      </c>
      <c r="F132" s="320"/>
      <c r="G132" s="320"/>
      <c r="H132" s="321"/>
      <c r="I132" s="7"/>
      <c r="J132" s="4"/>
      <c r="K132" s="5"/>
    </row>
    <row r="133" spans="1:12" s="6" customFormat="1" ht="40.200000000000003" customHeight="1" x14ac:dyDescent="0.25">
      <c r="A133" s="102" t="s">
        <v>62</v>
      </c>
      <c r="B133" s="44" t="s">
        <v>189</v>
      </c>
      <c r="C133" s="43"/>
      <c r="D133" s="104"/>
      <c r="E133" s="322"/>
      <c r="F133" s="323"/>
      <c r="G133" s="323"/>
      <c r="H133" s="324"/>
      <c r="I133" s="7"/>
      <c r="J133" s="4"/>
      <c r="K133" s="5"/>
    </row>
    <row r="134" spans="1:12" s="6" customFormat="1" ht="40.200000000000003" customHeight="1" x14ac:dyDescent="0.25">
      <c r="A134" s="20" t="s">
        <v>63</v>
      </c>
      <c r="B134" s="34" t="str">
        <f>'Planilha Orçamentária'!C138</f>
        <v>Madeiramento em eucalípto tratado, acabamento serrado, c/ ripão 2,5 x 7,5cm e ripa 2,5 x 5cm, exclusive peças principais</v>
      </c>
      <c r="C134" s="21" t="str">
        <f>'Planilha Orçamentária'!D138</f>
        <v>M2</v>
      </c>
      <c r="D134" s="50">
        <v>44.91</v>
      </c>
      <c r="E134" s="319" t="s">
        <v>402</v>
      </c>
      <c r="F134" s="320"/>
      <c r="G134" s="320"/>
      <c r="H134" s="321"/>
      <c r="I134" s="7"/>
      <c r="J134" s="4"/>
      <c r="K134" s="5"/>
    </row>
    <row r="135" spans="1:12" s="6" customFormat="1" ht="40.200000000000003" customHeight="1" x14ac:dyDescent="0.25">
      <c r="A135" s="20" t="s">
        <v>75</v>
      </c>
      <c r="B135" s="34" t="str">
        <f>'Planilha Orçamentária'!C139</f>
        <v>TELHAMENTO COM TELHA CERÂMICA CAPA-CANAL, TIPO PLAN, COM MAIS DE 2 ÁGUAS, INCLUSO TRANSPORTE VERTICAL. AF_07/2019</v>
      </c>
      <c r="C135" s="21" t="str">
        <f>'Planilha Orçamentária'!D139</f>
        <v>M2</v>
      </c>
      <c r="D135" s="50">
        <v>44.91</v>
      </c>
      <c r="E135" s="319" t="s">
        <v>403</v>
      </c>
      <c r="F135" s="320"/>
      <c r="G135" s="320"/>
      <c r="H135" s="321"/>
      <c r="I135" s="7" t="s">
        <v>166</v>
      </c>
      <c r="J135" s="96">
        <f>(((4.16*4.16)*1.73)/4)*6</f>
        <v>44.908032000000006</v>
      </c>
      <c r="K135" s="5"/>
      <c r="L135" s="100" t="s">
        <v>192</v>
      </c>
    </row>
    <row r="136" spans="1:12" s="6" customFormat="1" ht="40.200000000000003" customHeight="1" x14ac:dyDescent="0.25">
      <c r="A136" s="20" t="s">
        <v>170</v>
      </c>
      <c r="B136" s="34" t="str">
        <f>'Planilha Orçamentária'!C140</f>
        <v>CUMEEIRA E ESPIGÃO PARA TELHA CERÂMICA EMBOÇADA COM ARGAMASSA TRAÇO 1:2:9 (CIMENTO, CAL E AREIA), PARA TELHADOS COM MAIS DE 2 ÁGUAS, INCLUSO TRANSPORTE VERTICAL. AF_07/2019</v>
      </c>
      <c r="C136" s="21" t="str">
        <f>'Planilha Orçamentária'!D140</f>
        <v>M</v>
      </c>
      <c r="D136" s="50">
        <v>24.96</v>
      </c>
      <c r="E136" s="319" t="s">
        <v>404</v>
      </c>
      <c r="F136" s="320"/>
      <c r="G136" s="320"/>
      <c r="H136" s="321"/>
      <c r="I136" s="7">
        <f>4.16*6</f>
        <v>24.96</v>
      </c>
      <c r="J136" s="96"/>
      <c r="K136" s="5"/>
    </row>
    <row r="137" spans="1:12" s="6" customFormat="1" ht="40.200000000000003" customHeight="1" x14ac:dyDescent="0.25">
      <c r="A137" s="20" t="s">
        <v>171</v>
      </c>
      <c r="B137" s="34" t="str">
        <f>'Planilha Orçamentária'!C141</f>
        <v xml:space="preserve">MADEIRA ROLICA TRATADA, D = 25 A 29 CM, H = 6,50 M, EM EUCALIPTO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137" s="21" t="str">
        <f>'Planilha Orçamentária'!D141</f>
        <v>M</v>
      </c>
      <c r="D137" s="50">
        <v>21</v>
      </c>
      <c r="E137" s="319" t="s">
        <v>193</v>
      </c>
      <c r="F137" s="320"/>
      <c r="G137" s="320"/>
      <c r="H137" s="321"/>
      <c r="I137" s="7"/>
      <c r="J137" s="4"/>
      <c r="K137" s="5"/>
    </row>
    <row r="138" spans="1:12" s="6" customFormat="1" ht="40.200000000000003" customHeight="1" x14ac:dyDescent="0.25">
      <c r="A138" s="20" t="s">
        <v>184</v>
      </c>
      <c r="B138" s="34" t="str">
        <f>'Planilha Orçamentária'!C142</f>
        <v>Fabricação e instalação de tesoura inteira em madeira não aparelhada, vão de 8 m, para telha ondulada de fibrocimento, metálica, plástica ou termoacústica, incluso içamento. af_07/2019</v>
      </c>
      <c r="C138" s="21" t="str">
        <f>'Planilha Orçamentária'!D142</f>
        <v>UND</v>
      </c>
      <c r="D138" s="50">
        <v>1</v>
      </c>
      <c r="E138" s="319" t="s">
        <v>233</v>
      </c>
      <c r="F138" s="320"/>
      <c r="G138" s="320"/>
      <c r="H138" s="321"/>
      <c r="I138" s="7"/>
      <c r="J138" s="4"/>
      <c r="K138" s="5"/>
    </row>
    <row r="139" spans="1:12" s="6" customFormat="1" ht="40.200000000000003" customHeight="1" x14ac:dyDescent="0.25">
      <c r="A139" s="20" t="s">
        <v>185</v>
      </c>
      <c r="B139" s="34" t="str">
        <f>'Planilha Orçamentária'!C143</f>
        <v>ESCAVAÇÃO MANUAL DE TERRA (DESATERRO MANUAL)</v>
      </c>
      <c r="C139" s="21" t="str">
        <f>'Planilha Orçamentária'!D143</f>
        <v>M3</v>
      </c>
      <c r="D139" s="50">
        <v>0.75</v>
      </c>
      <c r="E139" s="319" t="s">
        <v>194</v>
      </c>
      <c r="F139" s="320"/>
      <c r="G139" s="320"/>
      <c r="H139" s="321"/>
      <c r="I139" s="7" t="s">
        <v>181</v>
      </c>
      <c r="J139" s="4">
        <f>(0.5*0.5)*0.5</f>
        <v>0.125</v>
      </c>
      <c r="K139" s="5">
        <f>J139*6</f>
        <v>0.75</v>
      </c>
    </row>
    <row r="140" spans="1:12" s="6" customFormat="1" ht="51" customHeight="1" x14ac:dyDescent="0.25">
      <c r="A140" s="20" t="s">
        <v>208</v>
      </c>
      <c r="B140" s="34" t="str">
        <f>'Planilha Orçamentária'!C144</f>
        <v>FORNECIMENTO DE CONCRETO ESTRUTURAL, PREPARADO EM
OBRA COM BETONEIRA, COM FCK 25 MPA, INCLUSIVE
LANÇAMENTO, ADENSAMENTO E ACABAMENTO (FUNDAÇÃO)</v>
      </c>
      <c r="C140" s="21" t="str">
        <f>'Planilha Orçamentária'!D144</f>
        <v>M3</v>
      </c>
      <c r="D140" s="50">
        <v>0.75</v>
      </c>
      <c r="E140" s="319" t="s">
        <v>194</v>
      </c>
      <c r="F140" s="320"/>
      <c r="G140" s="320"/>
      <c r="H140" s="321"/>
      <c r="I140" s="7"/>
      <c r="J140" s="4"/>
      <c r="K140" s="5"/>
    </row>
    <row r="141" spans="1:12" s="6" customFormat="1" ht="40.200000000000003" customHeight="1" x14ac:dyDescent="0.25">
      <c r="A141" s="20" t="s">
        <v>213</v>
      </c>
      <c r="B141" s="34" t="str">
        <f>'Planilha Orçamentária'!C145</f>
        <v>VIGA 0,10 A 0,20 M DE LARGURA, CONCRETO 1:2:4 COM ARMAÇÃO
 E FORMA RESINADA</v>
      </c>
      <c r="C141" s="21" t="str">
        <f>'Planilha Orçamentária'!D145</f>
        <v>M3</v>
      </c>
      <c r="D141" s="50">
        <v>0.61699999999999999</v>
      </c>
      <c r="E141" s="319" t="s">
        <v>405</v>
      </c>
      <c r="F141" s="320"/>
      <c r="G141" s="320"/>
      <c r="H141" s="321"/>
      <c r="I141" s="7">
        <f>(3.43 * 6) * 0.15 * 0.2</f>
        <v>0.61740000000000006</v>
      </c>
      <c r="J141" s="4"/>
      <c r="K141" s="5"/>
    </row>
    <row r="142" spans="1:12" s="6" customFormat="1" ht="46.8" customHeight="1" x14ac:dyDescent="0.25">
      <c r="A142" s="20" t="s">
        <v>264</v>
      </c>
      <c r="B142" s="34" t="str">
        <f>'Planilha Orçamentária'!C146</f>
        <v>ALVENARIA DE VEDAÇÃO DE BLOCOS CERÂMICOS FURADOS NA HORIZONTAL DE 9X19X19 CM (ESPESSURA 9 CM) E ARGAMASSA DE ASSENTAMENTO COM PREPARO EM BETONEIRA. AF_12/2021</v>
      </c>
      <c r="C142" s="21" t="str">
        <f>'Planilha Orçamentária'!D146</f>
        <v>M2</v>
      </c>
      <c r="D142" s="50">
        <v>18.579999999999998</v>
      </c>
      <c r="E142" s="319" t="s">
        <v>406</v>
      </c>
      <c r="F142" s="320"/>
      <c r="G142" s="320"/>
      <c r="H142" s="321"/>
      <c r="I142" s="7">
        <f>((3.43*6)*1) - ((1*1)*2)</f>
        <v>18.580000000000002</v>
      </c>
      <c r="J142" s="4"/>
      <c r="K142" s="5"/>
    </row>
    <row r="143" spans="1:12" s="6" customFormat="1" ht="52.8" customHeight="1" x14ac:dyDescent="0.25">
      <c r="A143" s="20" t="s">
        <v>370</v>
      </c>
      <c r="B143" s="34" t="str">
        <f>'Planilha Orçamentária'!C147</f>
        <v>CHAPISCO COM ARGAMASSA, TRAÇO 1:2:3 (CIMENTO, AREIA E
 PEDRISCO), APLICADO COM COLHER, ESP. 5MM, INCLUSIVE
 ARGAMASSA COM PREPARO MECANIZADO</v>
      </c>
      <c r="C143" s="21" t="str">
        <f>'Planilha Orçamentária'!D147</f>
        <v>M2</v>
      </c>
      <c r="D143" s="50">
        <v>22.49</v>
      </c>
      <c r="E143" s="319" t="s">
        <v>407</v>
      </c>
      <c r="F143" s="320"/>
      <c r="G143" s="320"/>
      <c r="H143" s="321"/>
      <c r="I143" s="7">
        <f>((3.43*6)*1) - ((1*1)*2) + ((3.43*6)*0.19)</f>
        <v>22.490200000000002</v>
      </c>
      <c r="J143" s="4"/>
      <c r="K143" s="5"/>
    </row>
    <row r="144" spans="1:12" s="6" customFormat="1" ht="51.6" customHeight="1" x14ac:dyDescent="0.25">
      <c r="A144" s="20" t="s">
        <v>371</v>
      </c>
      <c r="B144" s="34" t="str">
        <f>'Planilha Orçamentária'!C148</f>
        <v>REBOCO COM ARGAMASSA, TRAÇO 1:7 (CIMENTO E AREIA), ESP.
 20MM, APLICAÇÃO MANUAL, INCLUSIVE ARGAMASSA COM
 PREPARO MECANIZADO, EXCLUSIVE CHAPISCO</v>
      </c>
      <c r="C144" s="21" t="str">
        <f>'Planilha Orçamentária'!D148</f>
        <v>M2</v>
      </c>
      <c r="D144" s="50">
        <v>22.49</v>
      </c>
      <c r="E144" s="319" t="s">
        <v>407</v>
      </c>
      <c r="F144" s="320"/>
      <c r="G144" s="320"/>
      <c r="H144" s="321"/>
      <c r="I144" s="7"/>
      <c r="J144" s="4"/>
      <c r="K144" s="5"/>
    </row>
    <row r="145" spans="1:11" s="6" customFormat="1" ht="45.6" customHeight="1" x14ac:dyDescent="0.25">
      <c r="A145" s="20" t="s">
        <v>372</v>
      </c>
      <c r="B145" s="34" t="str">
        <f>'Planilha Orçamentária'!C149</f>
        <v>PREPARAÇÃO PARA EMASSAMENTO OU PINTURA (LÁTEX/
 ACRÍLICA) EM PAREDE, INCLUSIVE UMA (1) DEMÃO DE SELADOR
 ACRÍLICO</v>
      </c>
      <c r="C145" s="21" t="str">
        <f>'Planilha Orçamentária'!D149</f>
        <v>M2</v>
      </c>
      <c r="D145" s="50">
        <f>D144</f>
        <v>22.49</v>
      </c>
      <c r="E145" s="319" t="s">
        <v>407</v>
      </c>
      <c r="F145" s="320"/>
      <c r="G145" s="320"/>
      <c r="H145" s="321"/>
      <c r="I145" s="7"/>
      <c r="J145" s="4"/>
      <c r="K145" s="5"/>
    </row>
    <row r="146" spans="1:11" s="6" customFormat="1" ht="48" customHeight="1" x14ac:dyDescent="0.25">
      <c r="A146" s="20" t="s">
        <v>387</v>
      </c>
      <c r="B146" s="34" t="str">
        <f>'Planilha Orçamentária'!C150</f>
        <v>PINTURA ACRÍLICA EM PAREDE, DUAS (2) DEMÃOS, COM
 APLICAÇÃO MANUAL, EXCLUSIVE SELADOR ACRÍLICO E MASSA
 ACRÍLICA/CORRIDA (PVA)</v>
      </c>
      <c r="C146" s="21" t="str">
        <f>'Planilha Orçamentária'!D150</f>
        <v>M2</v>
      </c>
      <c r="D146" s="50">
        <f>D145</f>
        <v>22.49</v>
      </c>
      <c r="E146" s="319" t="s">
        <v>407</v>
      </c>
      <c r="F146" s="320"/>
      <c r="G146" s="320"/>
      <c r="H146" s="321"/>
      <c r="I146" s="7"/>
      <c r="J146" s="4"/>
      <c r="K146" s="5"/>
    </row>
    <row r="147" spans="1:11" s="6" customFormat="1" ht="42" customHeight="1" x14ac:dyDescent="0.25">
      <c r="A147" s="20" t="s">
        <v>408</v>
      </c>
      <c r="B147" s="34" t="str">
        <f>'Planilha Orçamentária'!C151</f>
        <v>Luminaria de teto plafon/plafonier em plastico com base e27, potencia maxima 60 w (nao inclui lampada)</v>
      </c>
      <c r="C147" s="21" t="str">
        <f>'Planilha Orçamentária'!D151</f>
        <v>UND</v>
      </c>
      <c r="D147" s="50">
        <v>1</v>
      </c>
      <c r="E147" s="319" t="s">
        <v>411</v>
      </c>
      <c r="F147" s="320"/>
      <c r="G147" s="320"/>
      <c r="H147" s="321"/>
      <c r="I147" s="7"/>
      <c r="J147" s="4"/>
      <c r="K147" s="5"/>
    </row>
    <row r="148" spans="1:11" s="6" customFormat="1" ht="36" customHeight="1" x14ac:dyDescent="0.25">
      <c r="A148" s="20" t="s">
        <v>409</v>
      </c>
      <c r="B148" s="34" t="str">
        <f>'Planilha Orçamentária'!C152</f>
        <v>Lâmpada led 50w de potência, luz branca bivolt, marca LLum ou similar</v>
      </c>
      <c r="C148" s="21" t="str">
        <f>'Planilha Orçamentária'!D152</f>
        <v>UND</v>
      </c>
      <c r="D148" s="50">
        <v>1</v>
      </c>
      <c r="E148" s="319" t="s">
        <v>411</v>
      </c>
      <c r="F148" s="320"/>
      <c r="G148" s="320"/>
      <c r="H148" s="321"/>
      <c r="I148" s="7"/>
      <c r="J148" s="4"/>
      <c r="K148" s="5"/>
    </row>
    <row r="149" spans="1:11" s="6" customFormat="1" ht="33.6" customHeight="1" x14ac:dyDescent="0.25">
      <c r="A149" s="20" t="s">
        <v>410</v>
      </c>
      <c r="B149" s="34" t="str">
        <f>'Planilha Orçamentária'!C153</f>
        <v>Ponto de luz em teto ou parede, com eletroduto pvc rígido embutido Ø 3/4"</v>
      </c>
      <c r="C149" s="21" t="str">
        <f>'Planilha Orçamentária'!D153</f>
        <v>UND</v>
      </c>
      <c r="D149" s="50">
        <v>1</v>
      </c>
      <c r="E149" s="319" t="s">
        <v>411</v>
      </c>
      <c r="F149" s="320"/>
      <c r="G149" s="320"/>
      <c r="H149" s="321"/>
      <c r="I149" s="7"/>
      <c r="J149" s="4"/>
      <c r="K149" s="5"/>
    </row>
    <row r="150" spans="1:11" s="6" customFormat="1" ht="40.200000000000003" customHeight="1" x14ac:dyDescent="0.25">
      <c r="A150" s="102" t="s">
        <v>67</v>
      </c>
      <c r="B150" s="44" t="s">
        <v>112</v>
      </c>
      <c r="C150" s="43"/>
      <c r="D150" s="104"/>
      <c r="E150" s="322"/>
      <c r="F150" s="323"/>
      <c r="G150" s="323"/>
      <c r="H150" s="324"/>
      <c r="I150" s="7"/>
      <c r="J150" s="4"/>
      <c r="K150" s="5"/>
    </row>
    <row r="151" spans="1:11" s="6" customFormat="1" ht="40.200000000000003" customHeight="1" x14ac:dyDescent="0.25">
      <c r="A151" s="20" t="s">
        <v>68</v>
      </c>
      <c r="B151" s="152" t="s">
        <v>296</v>
      </c>
      <c r="C151" s="21" t="str">
        <f>'Planilha Orçamentária'!D155</f>
        <v>UND</v>
      </c>
      <c r="D151" s="50">
        <v>2</v>
      </c>
      <c r="E151" s="319" t="s">
        <v>384</v>
      </c>
      <c r="F151" s="320"/>
      <c r="G151" s="320"/>
      <c r="H151" s="321"/>
      <c r="I151" s="7"/>
      <c r="J151" s="4"/>
      <c r="K151" s="5"/>
    </row>
    <row r="152" spans="1:11" s="6" customFormat="1" ht="57.6" customHeight="1" x14ac:dyDescent="0.25">
      <c r="A152" s="20" t="s">
        <v>69</v>
      </c>
      <c r="B152" s="34" t="s">
        <v>156</v>
      </c>
      <c r="C152" s="21" t="str">
        <f>'Planilha Orçamentária'!D156</f>
        <v>UND</v>
      </c>
      <c r="D152" s="50">
        <v>1</v>
      </c>
      <c r="E152" s="319" t="s">
        <v>233</v>
      </c>
      <c r="F152" s="320"/>
      <c r="G152" s="320"/>
      <c r="H152" s="321"/>
      <c r="I152" s="7"/>
      <c r="J152" s="4"/>
      <c r="K152" s="5"/>
    </row>
    <row r="153" spans="1:11" s="6" customFormat="1" ht="69.599999999999994" customHeight="1" x14ac:dyDescent="0.25">
      <c r="A153" s="20" t="s">
        <v>84</v>
      </c>
      <c r="B153" s="34" t="s">
        <v>158</v>
      </c>
      <c r="C153" s="21" t="str">
        <f>'Planilha Orçamentária'!D157</f>
        <v>UND</v>
      </c>
      <c r="D153" s="50">
        <v>13</v>
      </c>
      <c r="E153" s="319" t="s">
        <v>418</v>
      </c>
      <c r="F153" s="320"/>
      <c r="G153" s="320"/>
      <c r="H153" s="321"/>
      <c r="I153" s="7"/>
      <c r="J153" s="4"/>
      <c r="K153" s="5"/>
    </row>
    <row r="154" spans="1:11" s="6" customFormat="1" ht="40.200000000000003" customHeight="1" x14ac:dyDescent="0.25">
      <c r="A154" s="20" t="s">
        <v>162</v>
      </c>
      <c r="B154" s="153" t="s">
        <v>412</v>
      </c>
      <c r="C154" s="21" t="str">
        <f>'Planilha Orçamentária'!D158</f>
        <v>UND</v>
      </c>
      <c r="D154" s="50">
        <v>8</v>
      </c>
      <c r="E154" s="319" t="s">
        <v>413</v>
      </c>
      <c r="F154" s="320"/>
      <c r="G154" s="320"/>
      <c r="H154" s="321"/>
      <c r="I154" s="7"/>
      <c r="J154" s="4"/>
      <c r="K154" s="5"/>
    </row>
    <row r="155" spans="1:11" s="6" customFormat="1" ht="40.200000000000003" customHeight="1" x14ac:dyDescent="0.25">
      <c r="A155" s="20" t="s">
        <v>168</v>
      </c>
      <c r="B155" s="153" t="s">
        <v>414</v>
      </c>
      <c r="C155" s="21" t="str">
        <f>'Planilha Orçamentária'!D159</f>
        <v>UND</v>
      </c>
      <c r="D155" s="50">
        <v>3</v>
      </c>
      <c r="E155" s="319" t="s">
        <v>339</v>
      </c>
      <c r="F155" s="320"/>
      <c r="G155" s="320"/>
      <c r="H155" s="321"/>
      <c r="I155" s="7"/>
      <c r="J155" s="4"/>
      <c r="K155" s="5"/>
    </row>
    <row r="156" spans="1:11" s="6" customFormat="1" ht="40.200000000000003" customHeight="1" x14ac:dyDescent="0.25">
      <c r="A156" s="20" t="s">
        <v>163</v>
      </c>
      <c r="B156" s="34" t="s">
        <v>340</v>
      </c>
      <c r="C156" s="21" t="str">
        <f>'Planilha Orçamentária'!D160</f>
        <v>UND</v>
      </c>
      <c r="D156" s="50">
        <v>11</v>
      </c>
      <c r="E156" s="319" t="s">
        <v>417</v>
      </c>
      <c r="F156" s="320"/>
      <c r="G156" s="320"/>
      <c r="H156" s="321"/>
      <c r="I156" s="7"/>
      <c r="J156" s="4"/>
      <c r="K156" s="5"/>
    </row>
    <row r="157" spans="1:11" s="6" customFormat="1" ht="40.200000000000003" customHeight="1" x14ac:dyDescent="0.25">
      <c r="A157" s="20" t="s">
        <v>169</v>
      </c>
      <c r="B157" s="106" t="s">
        <v>342</v>
      </c>
      <c r="C157" s="21" t="str">
        <f>'Planilha Orçamentária'!D161</f>
        <v>UND</v>
      </c>
      <c r="D157" s="50">
        <v>1</v>
      </c>
      <c r="E157" s="319" t="s">
        <v>233</v>
      </c>
      <c r="F157" s="320"/>
      <c r="G157" s="320"/>
      <c r="H157" s="321"/>
      <c r="I157" s="7"/>
      <c r="J157" s="4"/>
      <c r="K157" s="5"/>
    </row>
    <row r="158" spans="1:11" s="6" customFormat="1" ht="40.200000000000003" customHeight="1" x14ac:dyDescent="0.25">
      <c r="A158" s="20" t="s">
        <v>388</v>
      </c>
      <c r="B158" s="106" t="s">
        <v>360</v>
      </c>
      <c r="C158" s="21" t="str">
        <f>'Planilha Orçamentária'!D162</f>
        <v>UND</v>
      </c>
      <c r="D158" s="50">
        <v>1</v>
      </c>
      <c r="E158" s="319" t="s">
        <v>233</v>
      </c>
      <c r="F158" s="320"/>
      <c r="G158" s="320"/>
      <c r="H158" s="321"/>
      <c r="I158" s="7"/>
      <c r="J158" s="4"/>
      <c r="K158" s="5"/>
    </row>
    <row r="159" spans="1:11" s="6" customFormat="1" ht="40.200000000000003" customHeight="1" x14ac:dyDescent="0.25">
      <c r="A159" s="20" t="s">
        <v>389</v>
      </c>
      <c r="B159" s="106" t="s">
        <v>362</v>
      </c>
      <c r="C159" s="21" t="str">
        <f>'Planilha Orçamentária'!D163</f>
        <v>UND</v>
      </c>
      <c r="D159" s="50">
        <v>2</v>
      </c>
      <c r="E159" s="319" t="s">
        <v>274</v>
      </c>
      <c r="F159" s="320"/>
      <c r="G159" s="320"/>
      <c r="H159" s="321"/>
      <c r="I159" s="7"/>
      <c r="J159" s="4"/>
      <c r="K159" s="5"/>
    </row>
    <row r="160" spans="1:11" s="6" customFormat="1" ht="40.200000000000003" customHeight="1" x14ac:dyDescent="0.25">
      <c r="A160" s="20" t="s">
        <v>390</v>
      </c>
      <c r="B160" s="106" t="s">
        <v>364</v>
      </c>
      <c r="C160" s="21" t="str">
        <f>'Planilha Orçamentária'!D164</f>
        <v>UND</v>
      </c>
      <c r="D160" s="50">
        <v>1</v>
      </c>
      <c r="E160" s="319" t="s">
        <v>233</v>
      </c>
      <c r="F160" s="320"/>
      <c r="G160" s="320"/>
      <c r="H160" s="321"/>
      <c r="I160" s="7"/>
      <c r="J160" s="4"/>
      <c r="K160" s="5"/>
    </row>
    <row r="161" spans="1:11" s="6" customFormat="1" ht="75.599999999999994" customHeight="1" x14ac:dyDescent="0.25">
      <c r="A161" s="20" t="s">
        <v>391</v>
      </c>
      <c r="B161" s="106" t="s">
        <v>366</v>
      </c>
      <c r="C161" s="21" t="str">
        <f>'Planilha Orçamentária'!D165</f>
        <v>UND</v>
      </c>
      <c r="D161" s="50">
        <v>2</v>
      </c>
      <c r="E161" s="319" t="s">
        <v>274</v>
      </c>
      <c r="F161" s="320"/>
      <c r="G161" s="320"/>
      <c r="H161" s="321"/>
      <c r="I161" s="7"/>
      <c r="J161" s="4"/>
      <c r="K161" s="5"/>
    </row>
    <row r="162" spans="1:11" s="6" customFormat="1" ht="40.200000000000003" customHeight="1" x14ac:dyDescent="0.25">
      <c r="A162" s="20" t="s">
        <v>392</v>
      </c>
      <c r="B162" s="106" t="s">
        <v>368</v>
      </c>
      <c r="C162" s="21" t="str">
        <f>'Planilha Orçamentária'!D166</f>
        <v>UND</v>
      </c>
      <c r="D162" s="50">
        <v>1</v>
      </c>
      <c r="E162" s="319" t="s">
        <v>233</v>
      </c>
      <c r="F162" s="320"/>
      <c r="G162" s="320"/>
      <c r="H162" s="321"/>
      <c r="I162" s="7"/>
      <c r="J162" s="4"/>
      <c r="K162" s="5"/>
    </row>
    <row r="163" spans="1:11" s="6" customFormat="1" ht="40.200000000000003" customHeight="1" x14ac:dyDescent="0.25">
      <c r="A163" s="20" t="s">
        <v>393</v>
      </c>
      <c r="B163" s="34" t="s">
        <v>154</v>
      </c>
      <c r="C163" s="21" t="str">
        <f>'Planilha Orçamentária'!D167</f>
        <v>UND</v>
      </c>
      <c r="D163" s="50">
        <v>2</v>
      </c>
      <c r="E163" s="319" t="s">
        <v>274</v>
      </c>
      <c r="F163" s="320"/>
      <c r="G163" s="320"/>
      <c r="H163" s="321"/>
      <c r="I163" s="7"/>
      <c r="J163" s="4"/>
      <c r="K163" s="5"/>
    </row>
    <row r="164" spans="1:11" s="6" customFormat="1" ht="49.2" customHeight="1" x14ac:dyDescent="0.25">
      <c r="A164" s="20" t="s">
        <v>416</v>
      </c>
      <c r="B164" s="106" t="s">
        <v>385</v>
      </c>
      <c r="C164" s="21" t="str">
        <f>'Planilha Orçamentária'!D168</f>
        <v>UND</v>
      </c>
      <c r="D164" s="50">
        <v>1</v>
      </c>
      <c r="E164" s="319" t="s">
        <v>233</v>
      </c>
      <c r="F164" s="320"/>
      <c r="G164" s="320"/>
      <c r="H164" s="321"/>
      <c r="I164" s="7"/>
      <c r="J164" s="4"/>
      <c r="K164" s="5"/>
    </row>
    <row r="165" spans="1:11" ht="15" customHeight="1" x14ac:dyDescent="0.3">
      <c r="A165" s="103"/>
      <c r="B165" s="30"/>
    </row>
    <row r="166" spans="1:11" ht="15" customHeight="1" x14ac:dyDescent="0.3">
      <c r="A166" s="103"/>
      <c r="B166" s="30"/>
    </row>
    <row r="167" spans="1:11" ht="15" customHeight="1" x14ac:dyDescent="0.3">
      <c r="A167" s="103"/>
      <c r="B167" s="30"/>
    </row>
    <row r="168" spans="1:11" ht="15" customHeight="1" x14ac:dyDescent="0.3">
      <c r="A168" s="103"/>
      <c r="B168" s="30"/>
    </row>
    <row r="169" spans="1:11" ht="15" customHeight="1" x14ac:dyDescent="0.3">
      <c r="A169" s="103"/>
      <c r="B169" s="30"/>
    </row>
    <row r="170" spans="1:11" ht="15" customHeight="1" x14ac:dyDescent="0.3">
      <c r="A170" s="103"/>
      <c r="B170" s="30"/>
    </row>
    <row r="171" spans="1:11" ht="15" customHeight="1" x14ac:dyDescent="0.3">
      <c r="A171" s="103"/>
      <c r="B171" s="30"/>
    </row>
    <row r="172" spans="1:11" ht="15" customHeight="1" x14ac:dyDescent="0.3">
      <c r="A172" s="103"/>
      <c r="B172" s="214" t="s">
        <v>105</v>
      </c>
      <c r="C172" s="214"/>
      <c r="D172" s="215" t="s">
        <v>106</v>
      </c>
      <c r="E172" s="215"/>
      <c r="F172" s="215"/>
      <c r="G172" s="215"/>
    </row>
    <row r="173" spans="1:11" ht="15" customHeight="1" x14ac:dyDescent="0.3">
      <c r="A173" s="103"/>
      <c r="B173" s="204" t="s">
        <v>202</v>
      </c>
      <c r="C173" s="204"/>
      <c r="D173" s="205" t="s">
        <v>107</v>
      </c>
      <c r="E173" s="205"/>
      <c r="F173" s="205"/>
      <c r="G173" s="205"/>
      <c r="J173"/>
      <c r="K173"/>
    </row>
    <row r="174" spans="1:11" ht="15" customHeight="1" x14ac:dyDescent="0.3">
      <c r="A174" s="103"/>
      <c r="B174" s="206" t="s">
        <v>108</v>
      </c>
      <c r="C174" s="206"/>
      <c r="D174" s="207" t="s">
        <v>109</v>
      </c>
      <c r="E174" s="208"/>
      <c r="F174" s="208"/>
      <c r="G174" s="208"/>
      <c r="J174"/>
      <c r="K174"/>
    </row>
    <row r="175" spans="1:11" ht="15" customHeight="1" x14ac:dyDescent="0.3">
      <c r="A175" s="103"/>
      <c r="B175" s="206" t="s">
        <v>250</v>
      </c>
      <c r="C175" s="206"/>
      <c r="D175" s="52"/>
      <c r="E175" s="53"/>
      <c r="F175" s="54"/>
      <c r="G175" s="54"/>
    </row>
    <row r="176" spans="1:11" ht="15" customHeight="1" x14ac:dyDescent="0.3">
      <c r="A176" s="103"/>
      <c r="B176" s="30"/>
      <c r="C176" s="29"/>
    </row>
    <row r="177" spans="1:3" ht="15" customHeight="1" x14ac:dyDescent="0.3">
      <c r="A177" s="103"/>
      <c r="B177" s="30"/>
      <c r="C177" s="29"/>
    </row>
    <row r="178" spans="1:3" ht="15" customHeight="1" x14ac:dyDescent="0.3">
      <c r="A178" s="103"/>
      <c r="B178" s="30"/>
      <c r="C178" s="29"/>
    </row>
    <row r="179" spans="1:3" x14ac:dyDescent="0.3">
      <c r="A179" s="103"/>
      <c r="B179" s="30"/>
    </row>
    <row r="181" spans="1:3" x14ac:dyDescent="0.3">
      <c r="B181" s="3" t="s">
        <v>152</v>
      </c>
    </row>
    <row r="182" spans="1:3" x14ac:dyDescent="0.3">
      <c r="B182" s="3" t="s">
        <v>153</v>
      </c>
    </row>
    <row r="193" spans="2:11" s="3" customFormat="1" ht="55.8" x14ac:dyDescent="0.3">
      <c r="B193" s="97" t="s">
        <v>187</v>
      </c>
      <c r="C193" s="3" t="s">
        <v>73</v>
      </c>
      <c r="D193">
        <v>54.85</v>
      </c>
      <c r="I193" s="2"/>
      <c r="K193" s="1"/>
    </row>
  </sheetData>
  <mergeCells count="171"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104:H104"/>
    <mergeCell ref="E91:H91"/>
    <mergeCell ref="E92:H92"/>
    <mergeCell ref="E97:H97"/>
    <mergeCell ref="E98:H98"/>
    <mergeCell ref="E99:H99"/>
    <mergeCell ref="E100:H100"/>
    <mergeCell ref="E81:H81"/>
    <mergeCell ref="E82:H82"/>
    <mergeCell ref="E83:H83"/>
    <mergeCell ref="E84:H84"/>
    <mergeCell ref="E88:H88"/>
    <mergeCell ref="E89:H89"/>
    <mergeCell ref="E90:H90"/>
    <mergeCell ref="E94:H94"/>
    <mergeCell ref="E156:H156"/>
    <mergeCell ref="E157:H157"/>
    <mergeCell ref="E158:H158"/>
    <mergeCell ref="E159:H159"/>
    <mergeCell ref="E160:H160"/>
    <mergeCell ref="E125:H125"/>
    <mergeCell ref="E126:H126"/>
    <mergeCell ref="E127:H127"/>
    <mergeCell ref="E128:H128"/>
    <mergeCell ref="E129:H129"/>
    <mergeCell ref="E130:H130"/>
    <mergeCell ref="E131:H131"/>
    <mergeCell ref="E137:H137"/>
    <mergeCell ref="E138:H138"/>
    <mergeCell ref="E146:H146"/>
    <mergeCell ref="E144:H144"/>
    <mergeCell ref="E145:H145"/>
    <mergeCell ref="E139:H139"/>
    <mergeCell ref="E140:H140"/>
    <mergeCell ref="E141:H141"/>
    <mergeCell ref="E142:H142"/>
    <mergeCell ref="E143:H143"/>
    <mergeCell ref="E16:H16"/>
    <mergeCell ref="E18:H18"/>
    <mergeCell ref="E20:H20"/>
    <mergeCell ref="E21:H21"/>
    <mergeCell ref="E75:H75"/>
    <mergeCell ref="E76:H76"/>
    <mergeCell ref="E77:H77"/>
    <mergeCell ref="E78:H78"/>
    <mergeCell ref="E79:H79"/>
    <mergeCell ref="E69:H69"/>
    <mergeCell ref="E70:H70"/>
    <mergeCell ref="E71:H71"/>
    <mergeCell ref="E72:H72"/>
    <mergeCell ref="E73:H73"/>
    <mergeCell ref="E74:H74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25:H25"/>
    <mergeCell ref="E26:H26"/>
    <mergeCell ref="E27:H27"/>
    <mergeCell ref="E19:H19"/>
    <mergeCell ref="E30:H30"/>
    <mergeCell ref="E31:H31"/>
    <mergeCell ref="A14:H14"/>
    <mergeCell ref="A65:H65"/>
    <mergeCell ref="E66:H66"/>
    <mergeCell ref="E46:H46"/>
    <mergeCell ref="E43:H43"/>
    <mergeCell ref="E44:H44"/>
    <mergeCell ref="E41:H41"/>
    <mergeCell ref="E42:H42"/>
    <mergeCell ref="E45:H45"/>
    <mergeCell ref="E36:H36"/>
    <mergeCell ref="E37:H37"/>
    <mergeCell ref="E39:H39"/>
    <mergeCell ref="E40:H40"/>
    <mergeCell ref="E29:H29"/>
    <mergeCell ref="E35:H35"/>
    <mergeCell ref="E38:H38"/>
    <mergeCell ref="E28:H28"/>
    <mergeCell ref="E15:H15"/>
    <mergeCell ref="B174:C174"/>
    <mergeCell ref="D174:G174"/>
    <mergeCell ref="B175:C175"/>
    <mergeCell ref="A1:H2"/>
    <mergeCell ref="B172:C172"/>
    <mergeCell ref="D172:G172"/>
    <mergeCell ref="E22:H22"/>
    <mergeCell ref="E12:H13"/>
    <mergeCell ref="A3:H4"/>
    <mergeCell ref="A5:H5"/>
    <mergeCell ref="A6:H6"/>
    <mergeCell ref="A7:H7"/>
    <mergeCell ref="A8:H8"/>
    <mergeCell ref="A10:H10"/>
    <mergeCell ref="A11:H11"/>
    <mergeCell ref="E96:H96"/>
    <mergeCell ref="A12:A13"/>
    <mergeCell ref="B12:B13"/>
    <mergeCell ref="C12:C13"/>
    <mergeCell ref="D12:D13"/>
    <mergeCell ref="B173:C173"/>
    <mergeCell ref="E17:H17"/>
    <mergeCell ref="E23:H23"/>
    <mergeCell ref="E24:H24"/>
    <mergeCell ref="D173:G173"/>
    <mergeCell ref="E101:H101"/>
    <mergeCell ref="E102:H102"/>
    <mergeCell ref="E106:H106"/>
    <mergeCell ref="E107:H107"/>
    <mergeCell ref="E108:H108"/>
    <mergeCell ref="E32:H32"/>
    <mergeCell ref="E33:H33"/>
    <mergeCell ref="E34:H34"/>
    <mergeCell ref="E67:H67"/>
    <mergeCell ref="E68:H68"/>
    <mergeCell ref="E87:H87"/>
    <mergeCell ref="E85:H85"/>
    <mergeCell ref="E80:H80"/>
    <mergeCell ref="E95:H95"/>
    <mergeCell ref="E105:H105"/>
    <mergeCell ref="E86:H86"/>
    <mergeCell ref="E93:H93"/>
    <mergeCell ref="E103:H103"/>
    <mergeCell ref="E161:H161"/>
    <mergeCell ref="E162:H162"/>
    <mergeCell ref="E163:H163"/>
    <mergeCell ref="E164:H164"/>
    <mergeCell ref="A115:H115"/>
    <mergeCell ref="E109:H109"/>
    <mergeCell ref="E147:H147"/>
    <mergeCell ref="E148:H148"/>
    <mergeCell ref="E149:H149"/>
    <mergeCell ref="E155:H155"/>
    <mergeCell ref="E150:H150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E124:H124"/>
    <mergeCell ref="E133:H133"/>
    <mergeCell ref="E134:H134"/>
    <mergeCell ref="E135:H135"/>
    <mergeCell ref="E136:H136"/>
    <mergeCell ref="E132:H132"/>
    <mergeCell ref="E151:H151"/>
    <mergeCell ref="E152:H152"/>
    <mergeCell ref="E153:H153"/>
    <mergeCell ref="E154:H154"/>
    <mergeCell ref="E110:H110"/>
    <mergeCell ref="E111:H111"/>
    <mergeCell ref="E112:H112"/>
    <mergeCell ref="E113:H113"/>
    <mergeCell ref="E114:H114"/>
  </mergeCells>
  <phoneticPr fontId="16" type="noConversion"/>
  <printOptions horizontalCentered="1"/>
  <pageMargins left="0.7" right="0.7" top="0.75" bottom="0.75" header="0.3" footer="0.3"/>
  <pageSetup paperSize="9" scale="76" fitToHeight="0" orientation="landscape" r:id="rId1"/>
  <headerFooter differentFirst="1" alignWithMargins="0">
    <oddFooter>&amp;RPágina &amp;P de &amp;N</oddFooter>
    <firstFooter>&amp;RPágina &amp;P de &amp;N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FD6F-146A-478D-BD6A-9DE6A49C5746}">
  <sheetPr>
    <pageSetUpPr fitToPage="1"/>
  </sheetPr>
  <dimension ref="B1:J34"/>
  <sheetViews>
    <sheetView topLeftCell="A10" workbookViewId="0">
      <selection activeCell="D15" sqref="D15"/>
    </sheetView>
  </sheetViews>
  <sheetFormatPr defaultColWidth="8.88671875" defaultRowHeight="14.4" x14ac:dyDescent="0.3"/>
  <cols>
    <col min="1" max="2" width="8.88671875" style="112"/>
    <col min="3" max="3" width="10.33203125" style="112" customWidth="1"/>
    <col min="4" max="4" width="39.33203125" style="112" customWidth="1"/>
    <col min="5" max="6" width="8.88671875" style="112"/>
    <col min="7" max="7" width="9.33203125" style="112" customWidth="1"/>
    <col min="8" max="8" width="13.88671875" style="112" customWidth="1"/>
    <col min="9" max="16384" width="8.88671875" style="112"/>
  </cols>
  <sheetData>
    <row r="1" spans="2:10" ht="13.2" customHeight="1" thickBot="1" x14ac:dyDescent="0.35"/>
    <row r="2" spans="2:10" ht="22.2" customHeight="1" thickBot="1" x14ac:dyDescent="0.45">
      <c r="B2" s="362" t="s">
        <v>285</v>
      </c>
      <c r="C2" s="363"/>
      <c r="D2" s="363"/>
      <c r="E2" s="363"/>
      <c r="F2" s="363"/>
      <c r="G2" s="363"/>
      <c r="H2" s="364"/>
    </row>
    <row r="3" spans="2:10" ht="29.4" customHeight="1" thickBot="1" x14ac:dyDescent="0.35">
      <c r="B3" s="113" t="s">
        <v>286</v>
      </c>
      <c r="C3" s="114" t="s">
        <v>287</v>
      </c>
      <c r="D3" s="115" t="s">
        <v>79</v>
      </c>
      <c r="E3" s="116" t="s">
        <v>288</v>
      </c>
      <c r="F3" s="116" t="s">
        <v>289</v>
      </c>
      <c r="G3" s="117" t="s">
        <v>290</v>
      </c>
      <c r="H3" s="113" t="s">
        <v>291</v>
      </c>
    </row>
    <row r="4" spans="2:10" ht="46.2" customHeight="1" x14ac:dyDescent="0.3">
      <c r="B4" s="118" t="s">
        <v>292</v>
      </c>
      <c r="C4" s="119" t="s">
        <v>338</v>
      </c>
      <c r="D4" s="120" t="s">
        <v>296</v>
      </c>
      <c r="E4" s="119" t="s">
        <v>288</v>
      </c>
      <c r="F4" s="121"/>
      <c r="G4" s="122"/>
      <c r="H4" s="123">
        <f>SUM(H5:H13)</f>
        <v>2522.8366999999998</v>
      </c>
    </row>
    <row r="5" spans="2:10" ht="36.6" customHeight="1" x14ac:dyDescent="0.3">
      <c r="B5" s="124" t="s">
        <v>83</v>
      </c>
      <c r="C5" s="125" t="s">
        <v>297</v>
      </c>
      <c r="D5" s="126" t="s">
        <v>298</v>
      </c>
      <c r="E5" s="127" t="s">
        <v>73</v>
      </c>
      <c r="F5" s="128">
        <v>3.2</v>
      </c>
      <c r="G5" s="129">
        <v>116.61</v>
      </c>
      <c r="H5" s="130">
        <f t="shared" ref="H5:H13" si="0">F5*G5</f>
        <v>373.15200000000004</v>
      </c>
    </row>
    <row r="6" spans="2:10" ht="60.6" customHeight="1" x14ac:dyDescent="0.3">
      <c r="B6" s="124" t="s">
        <v>83</v>
      </c>
      <c r="C6" s="125" t="s">
        <v>299</v>
      </c>
      <c r="D6" s="126" t="s">
        <v>300</v>
      </c>
      <c r="E6" s="127" t="s">
        <v>72</v>
      </c>
      <c r="F6" s="128">
        <v>4.24</v>
      </c>
      <c r="G6" s="129">
        <v>107.76</v>
      </c>
      <c r="H6" s="130">
        <f t="shared" si="0"/>
        <v>456.90240000000006</v>
      </c>
    </row>
    <row r="7" spans="2:10" ht="46.2" customHeight="1" x14ac:dyDescent="0.3">
      <c r="B7" s="124" t="s">
        <v>83</v>
      </c>
      <c r="C7" s="125" t="s">
        <v>301</v>
      </c>
      <c r="D7" s="126" t="s">
        <v>302</v>
      </c>
      <c r="E7" s="127" t="s">
        <v>72</v>
      </c>
      <c r="F7" s="128">
        <v>4.24</v>
      </c>
      <c r="G7" s="129">
        <v>45.97</v>
      </c>
      <c r="H7" s="130">
        <f t="shared" si="0"/>
        <v>194.9128</v>
      </c>
    </row>
    <row r="8" spans="2:10" ht="48.6" customHeight="1" x14ac:dyDescent="0.3">
      <c r="B8" s="124" t="s">
        <v>83</v>
      </c>
      <c r="C8" s="132" t="s">
        <v>303</v>
      </c>
      <c r="D8" s="133" t="s">
        <v>304</v>
      </c>
      <c r="E8" s="134" t="s">
        <v>73</v>
      </c>
      <c r="F8" s="135">
        <v>7.5</v>
      </c>
      <c r="G8" s="136">
        <v>27.74</v>
      </c>
      <c r="H8" s="130">
        <f t="shared" si="0"/>
        <v>208.04999999999998</v>
      </c>
      <c r="I8" s="112">
        <f>6*1.25</f>
        <v>7.5</v>
      </c>
    </row>
    <row r="9" spans="2:10" ht="29.4" customHeight="1" x14ac:dyDescent="0.3">
      <c r="B9" s="131" t="s">
        <v>167</v>
      </c>
      <c r="C9" s="132" t="s">
        <v>305</v>
      </c>
      <c r="D9" s="133" t="s">
        <v>306</v>
      </c>
      <c r="E9" s="134" t="s">
        <v>71</v>
      </c>
      <c r="F9" s="135">
        <v>0.15</v>
      </c>
      <c r="G9" s="136">
        <v>5998.99</v>
      </c>
      <c r="H9" s="130">
        <f t="shared" si="0"/>
        <v>899.84849999999994</v>
      </c>
    </row>
    <row r="10" spans="2:10" ht="29.4" customHeight="1" x14ac:dyDescent="0.3">
      <c r="B10" s="131" t="s">
        <v>167</v>
      </c>
      <c r="C10" s="125" t="s">
        <v>307</v>
      </c>
      <c r="D10" s="126" t="s">
        <v>308</v>
      </c>
      <c r="E10" s="134" t="s">
        <v>73</v>
      </c>
      <c r="F10" s="128">
        <v>1.6</v>
      </c>
      <c r="G10" s="129">
        <v>11.86</v>
      </c>
      <c r="H10" s="130">
        <f t="shared" si="0"/>
        <v>18.975999999999999</v>
      </c>
      <c r="J10" s="112">
        <f>4*0.4</f>
        <v>1.6</v>
      </c>
    </row>
    <row r="11" spans="2:10" ht="33" customHeight="1" x14ac:dyDescent="0.3">
      <c r="B11" s="131" t="s">
        <v>167</v>
      </c>
      <c r="C11" s="125" t="s">
        <v>309</v>
      </c>
      <c r="D11" s="126" t="s">
        <v>310</v>
      </c>
      <c r="E11" s="127" t="s">
        <v>70</v>
      </c>
      <c r="F11" s="128">
        <v>4</v>
      </c>
      <c r="G11" s="129">
        <v>64.81</v>
      </c>
      <c r="H11" s="130">
        <f t="shared" si="0"/>
        <v>259.24</v>
      </c>
    </row>
    <row r="12" spans="2:10" ht="37.950000000000003" customHeight="1" x14ac:dyDescent="0.3">
      <c r="B12" s="131" t="s">
        <v>83</v>
      </c>
      <c r="C12" s="125" t="s">
        <v>311</v>
      </c>
      <c r="D12" s="126" t="s">
        <v>312</v>
      </c>
      <c r="E12" s="134" t="s">
        <v>71</v>
      </c>
      <c r="F12" s="128">
        <v>0.125</v>
      </c>
      <c r="G12" s="129">
        <v>132.65</v>
      </c>
      <c r="H12" s="130">
        <f t="shared" si="0"/>
        <v>16.581250000000001</v>
      </c>
      <c r="J12" s="112">
        <f>0.5*0.5*0.5</f>
        <v>0.125</v>
      </c>
    </row>
    <row r="13" spans="2:10" ht="37.200000000000003" customHeight="1" thickBot="1" x14ac:dyDescent="0.35">
      <c r="B13" s="143" t="s">
        <v>83</v>
      </c>
      <c r="C13" s="137" t="s">
        <v>256</v>
      </c>
      <c r="D13" s="138" t="s">
        <v>313</v>
      </c>
      <c r="E13" s="139" t="s">
        <v>71</v>
      </c>
      <c r="F13" s="140">
        <v>0.125</v>
      </c>
      <c r="G13" s="141">
        <v>761.39</v>
      </c>
      <c r="H13" s="142">
        <f t="shared" si="0"/>
        <v>95.173749999999998</v>
      </c>
    </row>
    <row r="14" spans="2:10" ht="29.4" customHeight="1" thickBot="1" x14ac:dyDescent="0.35">
      <c r="B14" s="151"/>
      <c r="C14" s="151"/>
      <c r="D14" s="151"/>
      <c r="E14" s="151"/>
      <c r="F14" s="151"/>
      <c r="G14" s="151"/>
      <c r="H14" s="151"/>
    </row>
    <row r="15" spans="2:10" ht="51" customHeight="1" x14ac:dyDescent="0.3">
      <c r="B15" s="144" t="s">
        <v>292</v>
      </c>
      <c r="C15" s="145" t="s">
        <v>358</v>
      </c>
      <c r="D15" s="146" t="s">
        <v>412</v>
      </c>
      <c r="E15" s="145" t="s">
        <v>288</v>
      </c>
      <c r="F15" s="147"/>
      <c r="G15" s="148"/>
      <c r="H15" s="149">
        <f>SUM(H16:H23)</f>
        <v>3465.9375999999997</v>
      </c>
    </row>
    <row r="16" spans="2:10" ht="29.4" customHeight="1" x14ac:dyDescent="0.3">
      <c r="B16" s="124" t="s">
        <v>167</v>
      </c>
      <c r="C16" s="125" t="s">
        <v>344</v>
      </c>
      <c r="D16" s="126" t="s">
        <v>345</v>
      </c>
      <c r="E16" s="127" t="s">
        <v>293</v>
      </c>
      <c r="F16" s="128">
        <v>1</v>
      </c>
      <c r="G16" s="129">
        <v>620.25</v>
      </c>
      <c r="H16" s="130">
        <f t="shared" ref="H16:H23" si="1">F16*G16</f>
        <v>620.25</v>
      </c>
    </row>
    <row r="17" spans="2:10" ht="45" customHeight="1" x14ac:dyDescent="0.3">
      <c r="B17" s="124" t="s">
        <v>167</v>
      </c>
      <c r="C17" s="125" t="s">
        <v>346</v>
      </c>
      <c r="D17" s="126" t="s">
        <v>347</v>
      </c>
      <c r="E17" s="127" t="s">
        <v>293</v>
      </c>
      <c r="F17" s="128">
        <v>1</v>
      </c>
      <c r="G17" s="129">
        <v>124.42</v>
      </c>
      <c r="H17" s="130">
        <f t="shared" si="1"/>
        <v>124.42</v>
      </c>
    </row>
    <row r="18" spans="2:10" ht="45" customHeight="1" x14ac:dyDescent="0.3">
      <c r="B18" s="124" t="s">
        <v>167</v>
      </c>
      <c r="C18" s="125" t="s">
        <v>357</v>
      </c>
      <c r="D18" s="126" t="s">
        <v>356</v>
      </c>
      <c r="E18" s="127" t="s">
        <v>293</v>
      </c>
      <c r="F18" s="128">
        <v>2</v>
      </c>
      <c r="G18" s="129">
        <v>1222.3499999999999</v>
      </c>
      <c r="H18" s="130">
        <f t="shared" si="1"/>
        <v>2444.6999999999998</v>
      </c>
    </row>
    <row r="19" spans="2:10" ht="43.8" customHeight="1" x14ac:dyDescent="0.3">
      <c r="B19" s="124" t="s">
        <v>83</v>
      </c>
      <c r="C19" s="125" t="s">
        <v>348</v>
      </c>
      <c r="D19" s="126" t="s">
        <v>349</v>
      </c>
      <c r="E19" s="127" t="s">
        <v>293</v>
      </c>
      <c r="F19" s="128">
        <v>1</v>
      </c>
      <c r="G19" s="129">
        <v>40.6</v>
      </c>
      <c r="H19" s="130">
        <f t="shared" si="1"/>
        <v>40.6</v>
      </c>
    </row>
    <row r="20" spans="2:10" ht="21.6" customHeight="1" x14ac:dyDescent="0.3">
      <c r="B20" s="124" t="s">
        <v>83</v>
      </c>
      <c r="C20" s="125" t="s">
        <v>350</v>
      </c>
      <c r="D20" s="126" t="s">
        <v>351</v>
      </c>
      <c r="E20" s="127" t="s">
        <v>314</v>
      </c>
      <c r="F20" s="128">
        <v>1.5</v>
      </c>
      <c r="G20" s="129">
        <v>24.36</v>
      </c>
      <c r="H20" s="154">
        <f t="shared" si="1"/>
        <v>36.54</v>
      </c>
    </row>
    <row r="21" spans="2:10" ht="18.600000000000001" customHeight="1" x14ac:dyDescent="0.3">
      <c r="B21" s="124" t="s">
        <v>83</v>
      </c>
      <c r="C21" s="125" t="s">
        <v>294</v>
      </c>
      <c r="D21" s="126" t="s">
        <v>295</v>
      </c>
      <c r="E21" s="127" t="s">
        <v>314</v>
      </c>
      <c r="F21" s="128">
        <v>1.5</v>
      </c>
      <c r="G21" s="129">
        <v>18.12</v>
      </c>
      <c r="H21" s="154">
        <f t="shared" si="1"/>
        <v>27.18</v>
      </c>
    </row>
    <row r="22" spans="2:10" ht="29.4" customHeight="1" x14ac:dyDescent="0.3">
      <c r="B22" s="124" t="s">
        <v>167</v>
      </c>
      <c r="C22" s="125" t="s">
        <v>352</v>
      </c>
      <c r="D22" s="126" t="s">
        <v>353</v>
      </c>
      <c r="E22" s="127" t="s">
        <v>71</v>
      </c>
      <c r="F22" s="128">
        <v>0.28000000000000003</v>
      </c>
      <c r="G22" s="129">
        <v>565.46</v>
      </c>
      <c r="H22" s="154">
        <f t="shared" si="1"/>
        <v>158.32880000000003</v>
      </c>
    </row>
    <row r="23" spans="2:10" ht="29.4" customHeight="1" thickBot="1" x14ac:dyDescent="0.35">
      <c r="B23" s="143" t="s">
        <v>167</v>
      </c>
      <c r="C23" s="137" t="s">
        <v>354</v>
      </c>
      <c r="D23" s="138" t="s">
        <v>355</v>
      </c>
      <c r="E23" s="139" t="s">
        <v>71</v>
      </c>
      <c r="F23" s="140">
        <v>0.28000000000000003</v>
      </c>
      <c r="G23" s="141">
        <v>49.71</v>
      </c>
      <c r="H23" s="142">
        <f t="shared" si="1"/>
        <v>13.918800000000001</v>
      </c>
    </row>
    <row r="24" spans="2:10" ht="29.4" customHeight="1" x14ac:dyDescent="0.3"/>
    <row r="25" spans="2:10" ht="29.4" customHeight="1" x14ac:dyDescent="0.3"/>
    <row r="26" spans="2:10" ht="53.4" customHeight="1" x14ac:dyDescent="0.3"/>
    <row r="27" spans="2:10" ht="37.200000000000003" customHeight="1" x14ac:dyDescent="0.3">
      <c r="C27" s="365" t="s">
        <v>315</v>
      </c>
      <c r="D27" s="365"/>
      <c r="E27" s="365"/>
      <c r="F27" s="365"/>
    </row>
    <row r="28" spans="2:10" ht="18.600000000000001" customHeight="1" x14ac:dyDescent="0.3">
      <c r="C28" s="365" t="s">
        <v>316</v>
      </c>
      <c r="D28" s="365"/>
      <c r="E28" s="365"/>
      <c r="F28" s="365"/>
    </row>
    <row r="29" spans="2:10" ht="24" customHeight="1" x14ac:dyDescent="0.3">
      <c r="C29" s="365" t="s">
        <v>317</v>
      </c>
      <c r="D29" s="365"/>
      <c r="E29" s="365"/>
      <c r="F29" s="365"/>
    </row>
    <row r="30" spans="2:10" ht="29.4" customHeight="1" x14ac:dyDescent="0.3">
      <c r="J30"/>
    </row>
    <row r="31" spans="2:10" ht="29.4" customHeight="1" x14ac:dyDescent="0.3"/>
    <row r="32" spans="2:10" ht="31.2" customHeight="1" x14ac:dyDescent="0.3">
      <c r="G32" s="150"/>
    </row>
    <row r="33" spans="7:7" ht="15.6" x14ac:dyDescent="0.3">
      <c r="G33" s="150"/>
    </row>
    <row r="34" spans="7:7" ht="15.6" x14ac:dyDescent="0.3">
      <c r="G34" s="150"/>
    </row>
  </sheetData>
  <mergeCells count="4">
    <mergeCell ref="B2:H2"/>
    <mergeCell ref="C27:F27"/>
    <mergeCell ref="C28:F28"/>
    <mergeCell ref="C29:F29"/>
  </mergeCells>
  <pageMargins left="0.511811024" right="0.511811024" top="0.78740157499999996" bottom="0.78740157499999996" header="0.31496062000000002" footer="0.31496062000000002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F93F-160A-4D72-A26C-6E0022F220D1}">
  <sheetPr>
    <pageSetUpPr fitToPage="1"/>
  </sheetPr>
  <dimension ref="C3:M71"/>
  <sheetViews>
    <sheetView showGridLines="0" workbookViewId="0">
      <selection activeCell="I14" sqref="I14"/>
    </sheetView>
  </sheetViews>
  <sheetFormatPr defaultRowHeight="13.2" x14ac:dyDescent="0.25"/>
  <cols>
    <col min="3" max="3" width="20.33203125" customWidth="1"/>
    <col min="7" max="7" width="10.109375" customWidth="1"/>
    <col min="8" max="8" width="14.6640625" customWidth="1"/>
    <col min="9" max="9" width="26.6640625" customWidth="1"/>
  </cols>
  <sheetData>
    <row r="3" spans="3:13" ht="13.8" thickBot="1" x14ac:dyDescent="0.3"/>
    <row r="4" spans="3:13" x14ac:dyDescent="0.25">
      <c r="C4" s="78"/>
      <c r="D4" s="79"/>
      <c r="E4" s="79"/>
      <c r="F4" s="79"/>
      <c r="G4" s="408" t="s">
        <v>114</v>
      </c>
      <c r="H4" s="408"/>
      <c r="I4" s="408"/>
      <c r="J4" s="79"/>
      <c r="K4" s="79"/>
      <c r="L4" s="79"/>
      <c r="M4" s="80"/>
    </row>
    <row r="5" spans="3:13" x14ac:dyDescent="0.25">
      <c r="C5" s="81"/>
      <c r="D5" s="62"/>
      <c r="E5" s="62"/>
      <c r="F5" s="62"/>
      <c r="G5" s="409"/>
      <c r="H5" s="409"/>
      <c r="I5" s="409"/>
      <c r="J5" s="62"/>
      <c r="K5" s="62"/>
      <c r="L5" s="62"/>
      <c r="M5" s="82"/>
    </row>
    <row r="6" spans="3:13" ht="34.200000000000003" customHeight="1" x14ac:dyDescent="0.25">
      <c r="C6" s="410" t="s">
        <v>466</v>
      </c>
      <c r="D6" s="411"/>
      <c r="E6" s="411"/>
      <c r="F6" s="411"/>
      <c r="G6" s="411"/>
      <c r="H6" s="411"/>
      <c r="I6" s="411"/>
      <c r="J6" s="411"/>
      <c r="K6" s="411"/>
      <c r="L6" s="63"/>
      <c r="M6" s="84"/>
    </row>
    <row r="7" spans="3:13" ht="15" x14ac:dyDescent="0.25">
      <c r="C7" s="83"/>
      <c r="D7" s="366"/>
      <c r="E7" s="366"/>
      <c r="F7" s="366"/>
      <c r="G7" s="366"/>
      <c r="H7" s="366"/>
      <c r="I7" s="366"/>
      <c r="J7" s="366"/>
      <c r="K7" s="366"/>
      <c r="L7" s="366"/>
      <c r="M7" s="407"/>
    </row>
    <row r="8" spans="3:13" ht="15" x14ac:dyDescent="0.25">
      <c r="C8" s="83"/>
      <c r="D8" s="63"/>
      <c r="E8" s="63"/>
      <c r="F8" s="63"/>
      <c r="G8" s="63"/>
      <c r="H8" s="63"/>
      <c r="I8" s="63"/>
      <c r="J8" s="63"/>
      <c r="K8" s="63"/>
      <c r="L8" s="63"/>
      <c r="M8" s="84"/>
    </row>
    <row r="9" spans="3:13" ht="15.6" x14ac:dyDescent="0.3">
      <c r="C9" s="391" t="s">
        <v>115</v>
      </c>
      <c r="D9" s="392"/>
      <c r="E9" s="392"/>
      <c r="F9" s="392"/>
      <c r="G9" s="392"/>
      <c r="H9" s="392"/>
      <c r="I9" s="392"/>
      <c r="J9" s="392"/>
      <c r="K9" s="392"/>
      <c r="L9" s="392"/>
      <c r="M9" s="393"/>
    </row>
    <row r="10" spans="3:13" ht="15.6" x14ac:dyDescent="0.3">
      <c r="C10" s="391" t="s">
        <v>116</v>
      </c>
      <c r="D10" s="392"/>
      <c r="E10" s="392"/>
      <c r="F10" s="392"/>
      <c r="G10" s="392"/>
      <c r="H10" s="392"/>
      <c r="I10" s="392"/>
      <c r="J10" s="392"/>
      <c r="K10" s="392"/>
      <c r="L10" s="392"/>
      <c r="M10" s="393"/>
    </row>
    <row r="11" spans="3:13" ht="15" x14ac:dyDescent="0.25">
      <c r="C11" s="83"/>
      <c r="D11" s="63"/>
      <c r="E11" s="63"/>
      <c r="F11" s="63"/>
      <c r="G11" s="63"/>
      <c r="H11" s="63"/>
      <c r="I11" s="63"/>
      <c r="J11" s="63"/>
      <c r="K11" s="63"/>
      <c r="L11" s="63"/>
      <c r="M11" s="84"/>
    </row>
    <row r="12" spans="3:13" ht="15" x14ac:dyDescent="0.25">
      <c r="C12" s="388" t="s">
        <v>117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90"/>
    </row>
    <row r="13" spans="3:13" ht="15" x14ac:dyDescent="0.25">
      <c r="C13" s="405" t="s">
        <v>118</v>
      </c>
      <c r="D13" s="366"/>
      <c r="E13" s="366"/>
      <c r="F13" s="366"/>
      <c r="G13" s="366"/>
      <c r="H13" s="366"/>
      <c r="I13" s="366"/>
      <c r="J13" s="366"/>
      <c r="K13" s="366"/>
      <c r="L13" s="366"/>
      <c r="M13" s="407"/>
    </row>
    <row r="14" spans="3:13" ht="15" x14ac:dyDescent="0.25">
      <c r="C14" s="83"/>
      <c r="D14" s="63"/>
      <c r="E14" s="63"/>
      <c r="F14" s="63"/>
      <c r="G14" s="63"/>
      <c r="H14" s="63"/>
      <c r="I14" s="63"/>
      <c r="J14" s="63"/>
      <c r="K14" s="63"/>
      <c r="L14" s="63"/>
      <c r="M14" s="84"/>
    </row>
    <row r="15" spans="3:13" ht="15" x14ac:dyDescent="0.25">
      <c r="C15" s="83"/>
      <c r="D15" s="63"/>
      <c r="E15" s="63"/>
      <c r="F15" s="63"/>
      <c r="G15" s="63"/>
      <c r="H15" s="63"/>
      <c r="I15" s="63"/>
      <c r="J15" s="63"/>
      <c r="K15" s="63"/>
      <c r="L15" s="63"/>
      <c r="M15" s="84"/>
    </row>
    <row r="16" spans="3:13" ht="15" x14ac:dyDescent="0.25">
      <c r="C16" s="83"/>
      <c r="D16" s="63"/>
      <c r="E16" s="63"/>
      <c r="F16" s="63"/>
      <c r="G16" s="63"/>
      <c r="H16" s="63"/>
      <c r="I16" s="63"/>
      <c r="J16" s="63"/>
      <c r="K16" s="63"/>
      <c r="L16" s="63"/>
      <c r="M16" s="84"/>
    </row>
    <row r="17" spans="3:13" ht="15" x14ac:dyDescent="0.25">
      <c r="C17" s="83"/>
      <c r="D17" s="63"/>
      <c r="E17" s="63"/>
      <c r="F17" s="63"/>
      <c r="G17" s="63"/>
      <c r="H17" s="63"/>
      <c r="I17" s="63"/>
      <c r="J17" s="63"/>
      <c r="K17" s="63"/>
      <c r="L17" s="63"/>
      <c r="M17" s="84"/>
    </row>
    <row r="18" spans="3:13" ht="15.6" x14ac:dyDescent="0.3">
      <c r="C18" s="391" t="s">
        <v>119</v>
      </c>
      <c r="D18" s="392"/>
      <c r="E18" s="392"/>
      <c r="F18" s="392"/>
      <c r="G18" s="392"/>
      <c r="H18" s="392"/>
      <c r="I18" s="392"/>
      <c r="J18" s="392"/>
      <c r="K18" s="392"/>
      <c r="L18" s="392"/>
      <c r="M18" s="393"/>
    </row>
    <row r="19" spans="3:13" ht="15" x14ac:dyDescent="0.25">
      <c r="C19" s="83"/>
      <c r="D19" s="63"/>
      <c r="E19" s="63"/>
      <c r="F19" s="63"/>
      <c r="G19" s="63"/>
      <c r="H19" s="63"/>
      <c r="I19" s="63"/>
      <c r="J19" s="63"/>
      <c r="K19" s="63"/>
      <c r="L19" s="63"/>
      <c r="M19" s="84"/>
    </row>
    <row r="20" spans="3:13" ht="15.6" x14ac:dyDescent="0.3">
      <c r="C20" s="85" t="s">
        <v>0</v>
      </c>
      <c r="D20" s="64" t="s">
        <v>120</v>
      </c>
      <c r="E20" s="65" t="s">
        <v>121</v>
      </c>
      <c r="F20" s="66" t="s">
        <v>122</v>
      </c>
      <c r="G20" s="66" t="s">
        <v>123</v>
      </c>
      <c r="H20" s="64" t="s">
        <v>124</v>
      </c>
      <c r="I20" s="67"/>
      <c r="J20" s="67"/>
      <c r="K20" s="67"/>
      <c r="L20" s="67"/>
      <c r="M20" s="86"/>
    </row>
    <row r="21" spans="3:13" ht="15.6" x14ac:dyDescent="0.3">
      <c r="C21" s="87" t="s">
        <v>98</v>
      </c>
      <c r="D21" s="68">
        <v>3.7999999999999999E-2</v>
      </c>
      <c r="E21" s="68">
        <v>4.0099999999999997E-2</v>
      </c>
      <c r="F21" s="68">
        <v>4.6699999999999998E-2</v>
      </c>
      <c r="G21" s="69">
        <v>3.7999999999999999E-2</v>
      </c>
      <c r="H21" s="67" t="s">
        <v>125</v>
      </c>
      <c r="I21" s="67"/>
      <c r="J21" s="67"/>
      <c r="K21" s="67"/>
      <c r="L21" s="67"/>
      <c r="M21" s="86"/>
    </row>
    <row r="22" spans="3:13" ht="15.6" x14ac:dyDescent="0.3">
      <c r="C22" s="87" t="s">
        <v>99</v>
      </c>
      <c r="D22" s="68">
        <v>3.2000000000000002E-3</v>
      </c>
      <c r="E22" s="68">
        <v>4.0000000000000001E-3</v>
      </c>
      <c r="F22" s="68">
        <v>7.4000000000000003E-3</v>
      </c>
      <c r="G22" s="69">
        <v>3.2000000000000002E-3</v>
      </c>
      <c r="H22" s="67" t="s">
        <v>126</v>
      </c>
      <c r="I22" s="67"/>
      <c r="J22" s="67"/>
      <c r="K22" s="67"/>
      <c r="L22" s="67"/>
      <c r="M22" s="88"/>
    </row>
    <row r="23" spans="3:13" ht="15.6" x14ac:dyDescent="0.3">
      <c r="C23" s="87" t="s">
        <v>100</v>
      </c>
      <c r="D23" s="68">
        <v>5.0000000000000001E-3</v>
      </c>
      <c r="E23" s="68">
        <v>5.5999999999999999E-3</v>
      </c>
      <c r="F23" s="68">
        <v>9.7000000000000003E-3</v>
      </c>
      <c r="G23" s="69">
        <v>5.0000000000000001E-3</v>
      </c>
      <c r="H23" s="67" t="s">
        <v>127</v>
      </c>
      <c r="I23" s="67"/>
      <c r="J23" s="67"/>
      <c r="K23" s="67"/>
      <c r="L23" s="67"/>
      <c r="M23" s="86"/>
    </row>
    <row r="24" spans="3:13" ht="15.6" x14ac:dyDescent="0.3">
      <c r="C24" s="87" t="s">
        <v>101</v>
      </c>
      <c r="D24" s="68">
        <v>1.0200000000000001E-2</v>
      </c>
      <c r="E24" s="68">
        <v>1.11E-2</v>
      </c>
      <c r="F24" s="68">
        <v>1.21E-2</v>
      </c>
      <c r="G24" s="69">
        <v>1.0200000000000001E-2</v>
      </c>
      <c r="H24" s="67" t="s">
        <v>128</v>
      </c>
      <c r="I24" s="67"/>
      <c r="J24" s="67"/>
      <c r="K24" s="67"/>
      <c r="L24" s="67"/>
      <c r="M24" s="86"/>
    </row>
    <row r="25" spans="3:13" ht="15.6" x14ac:dyDescent="0.3">
      <c r="C25" s="87" t="s">
        <v>102</v>
      </c>
      <c r="D25" s="68">
        <v>6.6400000000000001E-2</v>
      </c>
      <c r="E25" s="68">
        <v>7.2999999999999995E-2</v>
      </c>
      <c r="F25" s="68">
        <v>8.6900000000000005E-2</v>
      </c>
      <c r="G25" s="69">
        <v>6.6400000000000001E-2</v>
      </c>
      <c r="H25" s="67" t="s">
        <v>129</v>
      </c>
      <c r="I25" s="67"/>
      <c r="J25" s="67"/>
      <c r="K25" s="67"/>
      <c r="L25" s="67"/>
      <c r="M25" s="86"/>
    </row>
    <row r="26" spans="3:13" ht="15.6" x14ac:dyDescent="0.3">
      <c r="C26" s="87" t="s">
        <v>130</v>
      </c>
      <c r="D26" s="394" t="s">
        <v>131</v>
      </c>
      <c r="E26" s="394"/>
      <c r="F26" s="394"/>
      <c r="G26" s="69">
        <v>0.13150000000000001</v>
      </c>
      <c r="H26" s="67" t="s">
        <v>132</v>
      </c>
      <c r="I26" s="67"/>
      <c r="J26" s="67"/>
      <c r="K26" s="67"/>
      <c r="L26" s="67"/>
      <c r="M26" s="86"/>
    </row>
    <row r="27" spans="3:13" ht="15.6" thickBot="1" x14ac:dyDescent="0.3">
      <c r="C27" s="83"/>
      <c r="D27" s="63"/>
      <c r="E27" s="63"/>
      <c r="F27" s="63"/>
      <c r="G27" s="63"/>
      <c r="H27" s="63"/>
      <c r="I27" s="63"/>
      <c r="J27" s="63"/>
      <c r="K27" s="63"/>
      <c r="L27" s="63"/>
      <c r="M27" s="84"/>
    </row>
    <row r="28" spans="3:13" ht="15.6" x14ac:dyDescent="0.25">
      <c r="C28" s="83"/>
      <c r="D28" s="63"/>
      <c r="E28" s="63"/>
      <c r="F28" s="395" t="s">
        <v>2</v>
      </c>
      <c r="G28" s="397">
        <f>(((1+G21)*(1+G22)*(1+G23)*(1+G24)*(1+G25))/(1-G26))-1</f>
        <v>0.29810139476973418</v>
      </c>
      <c r="H28" s="399" t="s">
        <v>133</v>
      </c>
      <c r="I28" s="400"/>
      <c r="J28" s="400"/>
      <c r="K28" s="400"/>
      <c r="L28" s="76"/>
      <c r="M28" s="89"/>
    </row>
    <row r="29" spans="3:13" ht="16.2" thickBot="1" x14ac:dyDescent="0.3">
      <c r="C29" s="83"/>
      <c r="D29" s="63"/>
      <c r="E29" s="63"/>
      <c r="F29" s="396"/>
      <c r="G29" s="398"/>
      <c r="H29" s="399"/>
      <c r="I29" s="400"/>
      <c r="J29" s="400"/>
      <c r="K29" s="400"/>
      <c r="L29" s="76"/>
      <c r="M29" s="89"/>
    </row>
    <row r="30" spans="3:13" ht="15" x14ac:dyDescent="0.25">
      <c r="C30" s="83"/>
      <c r="D30" s="63"/>
      <c r="E30" s="63"/>
      <c r="F30" s="63"/>
      <c r="G30" s="63"/>
      <c r="H30" s="63"/>
      <c r="I30" s="63"/>
      <c r="J30" s="63"/>
      <c r="K30" s="63"/>
      <c r="L30" s="63"/>
      <c r="M30" s="84"/>
    </row>
    <row r="31" spans="3:13" ht="15.6" thickBot="1" x14ac:dyDescent="0.3">
      <c r="C31" s="83"/>
      <c r="D31" s="63"/>
      <c r="E31" s="63"/>
      <c r="F31" s="63"/>
      <c r="G31" s="63"/>
      <c r="H31" s="63"/>
      <c r="I31" s="63"/>
      <c r="J31" s="63"/>
      <c r="K31" s="63"/>
      <c r="L31" s="63"/>
      <c r="M31" s="84"/>
    </row>
    <row r="32" spans="3:13" ht="15" x14ac:dyDescent="0.25">
      <c r="C32" s="401" t="s">
        <v>134</v>
      </c>
      <c r="D32" s="402">
        <v>29.81</v>
      </c>
      <c r="E32" s="401"/>
      <c r="F32" s="404"/>
      <c r="G32" s="404"/>
      <c r="H32" s="404"/>
      <c r="I32" s="63"/>
      <c r="J32" s="63"/>
      <c r="K32" s="63"/>
      <c r="L32" s="63"/>
      <c r="M32" s="84"/>
    </row>
    <row r="33" spans="3:13" ht="15.6" thickBot="1" x14ac:dyDescent="0.3">
      <c r="C33" s="401"/>
      <c r="D33" s="403"/>
      <c r="E33" s="401"/>
      <c r="F33" s="404"/>
      <c r="G33" s="404"/>
      <c r="H33" s="404"/>
      <c r="I33" s="63"/>
      <c r="J33" s="63"/>
      <c r="K33" s="63"/>
      <c r="L33" s="63"/>
      <c r="M33" s="84"/>
    </row>
    <row r="34" spans="3:13" ht="15" x14ac:dyDescent="0.25">
      <c r="C34" s="83"/>
      <c r="D34" s="63"/>
      <c r="E34" s="63"/>
      <c r="F34" s="63"/>
      <c r="G34" s="63"/>
      <c r="H34" s="63"/>
      <c r="I34" s="63"/>
      <c r="J34" s="63"/>
      <c r="K34" s="63"/>
      <c r="L34" s="63"/>
      <c r="M34" s="84"/>
    </row>
    <row r="35" spans="3:13" ht="15" x14ac:dyDescent="0.25">
      <c r="C35" s="405" t="s">
        <v>135</v>
      </c>
      <c r="D35" s="366"/>
      <c r="E35" s="366"/>
      <c r="F35" s="366"/>
      <c r="G35" s="366"/>
      <c r="H35" s="366"/>
      <c r="I35" s="366"/>
      <c r="J35" s="63"/>
      <c r="K35" s="63"/>
      <c r="L35" s="63"/>
      <c r="M35" s="84"/>
    </row>
    <row r="36" spans="3:13" ht="15" x14ac:dyDescent="0.25">
      <c r="C36" s="405" t="s">
        <v>136</v>
      </c>
      <c r="D36" s="366"/>
      <c r="E36" s="366"/>
      <c r="F36" s="366"/>
      <c r="G36" s="366"/>
      <c r="H36" s="366"/>
      <c r="I36" s="366"/>
      <c r="J36" s="63"/>
      <c r="K36" s="63"/>
      <c r="L36" s="63"/>
      <c r="M36" s="84"/>
    </row>
    <row r="37" spans="3:13" ht="15" x14ac:dyDescent="0.25">
      <c r="C37" s="388"/>
      <c r="D37" s="389"/>
      <c r="E37" s="389"/>
      <c r="F37" s="389"/>
      <c r="G37" s="389"/>
      <c r="H37" s="389"/>
      <c r="I37" s="389"/>
      <c r="J37" s="63"/>
      <c r="K37" s="63"/>
      <c r="L37" s="63"/>
      <c r="M37" s="84"/>
    </row>
    <row r="38" spans="3:13" ht="15" x14ac:dyDescent="0.25">
      <c r="C38" s="83"/>
      <c r="D38" s="63"/>
      <c r="E38" s="63"/>
      <c r="F38" s="63"/>
      <c r="G38" s="63"/>
      <c r="H38" s="63"/>
      <c r="I38" s="63"/>
      <c r="J38" s="63"/>
      <c r="K38" s="63"/>
      <c r="L38" s="63"/>
      <c r="M38" s="84"/>
    </row>
    <row r="39" spans="3:13" ht="15" x14ac:dyDescent="0.25">
      <c r="C39" s="87" t="s">
        <v>137</v>
      </c>
      <c r="D39" s="67"/>
      <c r="E39" s="63"/>
      <c r="F39" s="63"/>
      <c r="G39" s="63"/>
      <c r="H39" s="63"/>
      <c r="I39" s="63"/>
      <c r="J39" s="63"/>
      <c r="K39" s="63"/>
      <c r="L39" s="63"/>
      <c r="M39" s="84"/>
    </row>
    <row r="40" spans="3:13" ht="15" x14ac:dyDescent="0.25">
      <c r="C40" s="87" t="s">
        <v>138</v>
      </c>
      <c r="D40" s="70">
        <v>0.65</v>
      </c>
      <c r="E40" s="63"/>
      <c r="F40" s="63"/>
      <c r="G40" s="63"/>
      <c r="H40" s="63"/>
      <c r="I40" s="63"/>
      <c r="J40" s="63"/>
      <c r="K40" s="63"/>
      <c r="L40" s="63"/>
      <c r="M40" s="84"/>
    </row>
    <row r="41" spans="3:13" ht="15" x14ac:dyDescent="0.25">
      <c r="C41" s="87" t="s">
        <v>139</v>
      </c>
      <c r="D41" s="70">
        <v>3</v>
      </c>
      <c r="E41" s="63"/>
      <c r="F41" s="63"/>
      <c r="G41" s="63"/>
      <c r="H41" s="63"/>
      <c r="I41" s="63"/>
      <c r="J41" s="63"/>
      <c r="K41" s="63"/>
      <c r="L41" s="63"/>
      <c r="M41" s="84"/>
    </row>
    <row r="42" spans="3:13" ht="15" x14ac:dyDescent="0.25">
      <c r="C42" s="87" t="s">
        <v>140</v>
      </c>
      <c r="D42" s="67">
        <v>4.5</v>
      </c>
      <c r="E42" s="406" t="s">
        <v>141</v>
      </c>
      <c r="F42" s="366"/>
      <c r="G42" s="366"/>
      <c r="H42" s="366"/>
      <c r="I42" s="366"/>
      <c r="J42" s="366"/>
      <c r="K42" s="366"/>
      <c r="L42" s="366"/>
      <c r="M42" s="407"/>
    </row>
    <row r="43" spans="3:13" ht="15" x14ac:dyDescent="0.25">
      <c r="C43" s="87" t="s">
        <v>142</v>
      </c>
      <c r="D43" s="67">
        <v>5</v>
      </c>
      <c r="E43" s="63"/>
      <c r="F43" s="63"/>
      <c r="G43" s="63"/>
      <c r="H43" s="63"/>
      <c r="I43" s="63"/>
      <c r="J43" s="63"/>
      <c r="K43" s="63"/>
      <c r="L43" s="63"/>
      <c r="M43" s="84"/>
    </row>
    <row r="44" spans="3:13" ht="15.6" x14ac:dyDescent="0.3">
      <c r="C44" s="90" t="s">
        <v>18</v>
      </c>
      <c r="D44" s="64">
        <f>D40+D41+D42+D43+D39</f>
        <v>13.15</v>
      </c>
      <c r="E44" s="63"/>
      <c r="F44" s="63"/>
      <c r="G44" s="63"/>
      <c r="H44" s="63"/>
      <c r="I44" s="63"/>
      <c r="J44" s="63"/>
      <c r="K44" s="63"/>
      <c r="L44" s="63"/>
      <c r="M44" s="84"/>
    </row>
    <row r="45" spans="3:13" ht="15.6" thickBot="1" x14ac:dyDescent="0.3">
      <c r="C45" s="83"/>
      <c r="D45" s="63"/>
      <c r="E45" s="63"/>
      <c r="F45" s="63"/>
      <c r="G45" s="63"/>
      <c r="H45" s="63"/>
      <c r="I45" s="63"/>
      <c r="J45" s="63"/>
      <c r="K45" s="63"/>
      <c r="L45" s="63"/>
      <c r="M45" s="84"/>
    </row>
    <row r="46" spans="3:13" ht="16.2" thickBot="1" x14ac:dyDescent="0.35">
      <c r="C46" s="405" t="s">
        <v>143</v>
      </c>
      <c r="D46" s="366"/>
      <c r="E46" s="366"/>
      <c r="F46" s="366"/>
      <c r="G46" s="366"/>
      <c r="H46" s="366"/>
      <c r="I46" s="366"/>
      <c r="J46" s="366"/>
      <c r="K46" s="366"/>
      <c r="L46" s="407"/>
      <c r="M46" s="71">
        <v>1</v>
      </c>
    </row>
    <row r="47" spans="3:13" ht="16.2" thickBot="1" x14ac:dyDescent="0.35">
      <c r="C47" s="386" t="s">
        <v>144</v>
      </c>
      <c r="D47" s="387"/>
      <c r="E47" s="387"/>
      <c r="F47" s="387"/>
      <c r="G47" s="387"/>
      <c r="H47" s="387"/>
      <c r="I47" s="72">
        <v>0.05</v>
      </c>
      <c r="J47" s="388" t="s">
        <v>145</v>
      </c>
      <c r="K47" s="389"/>
      <c r="L47" s="389"/>
      <c r="M47" s="390"/>
    </row>
    <row r="48" spans="3:13" ht="15" x14ac:dyDescent="0.25">
      <c r="C48" s="83"/>
      <c r="D48" s="63"/>
      <c r="E48" s="63"/>
      <c r="F48" s="63"/>
      <c r="G48" s="63"/>
      <c r="H48" s="63"/>
      <c r="I48" s="63"/>
      <c r="J48" s="63"/>
      <c r="K48" s="63"/>
      <c r="L48" s="63"/>
      <c r="M48" s="84"/>
    </row>
    <row r="49" spans="3:13" x14ac:dyDescent="0.25">
      <c r="C49" s="373" t="s">
        <v>146</v>
      </c>
      <c r="D49" s="374"/>
      <c r="E49" s="374"/>
      <c r="F49" s="374"/>
      <c r="G49" s="374"/>
      <c r="H49" s="374"/>
      <c r="I49" s="374"/>
      <c r="J49" s="374"/>
      <c r="K49" s="374"/>
      <c r="L49" s="374"/>
      <c r="M49" s="375"/>
    </row>
    <row r="50" spans="3:13" ht="13.8" thickBot="1" x14ac:dyDescent="0.3">
      <c r="C50" s="81"/>
      <c r="D50" s="62"/>
      <c r="E50" s="62"/>
      <c r="F50" s="62"/>
      <c r="G50" s="62"/>
      <c r="H50" s="62"/>
      <c r="I50" s="62"/>
      <c r="J50" s="62"/>
      <c r="K50" s="62"/>
      <c r="L50" s="62"/>
      <c r="M50" s="82"/>
    </row>
    <row r="51" spans="3:13" ht="15" x14ac:dyDescent="0.25">
      <c r="C51" s="376" t="s">
        <v>103</v>
      </c>
      <c r="D51" s="377"/>
      <c r="E51" s="377"/>
      <c r="F51" s="377"/>
      <c r="G51" s="377"/>
      <c r="H51" s="377"/>
      <c r="I51" s="377"/>
      <c r="J51" s="377"/>
      <c r="K51" s="377"/>
      <c r="L51" s="377"/>
      <c r="M51" s="378"/>
    </row>
    <row r="52" spans="3:13" ht="16.2" thickBot="1" x14ac:dyDescent="0.35">
      <c r="C52" s="379" t="s">
        <v>104</v>
      </c>
      <c r="D52" s="380"/>
      <c r="E52" s="380"/>
      <c r="F52" s="380"/>
      <c r="G52" s="380"/>
      <c r="H52" s="380"/>
      <c r="I52" s="380"/>
      <c r="J52" s="380"/>
      <c r="K52" s="380"/>
      <c r="L52" s="380"/>
      <c r="M52" s="381"/>
    </row>
    <row r="53" spans="3:13" ht="15" x14ac:dyDescent="0.25">
      <c r="C53" s="83"/>
      <c r="D53" s="63"/>
      <c r="E53" s="63"/>
      <c r="F53" s="63"/>
      <c r="G53" s="63"/>
      <c r="H53" s="63"/>
      <c r="I53" s="63"/>
      <c r="J53" s="63"/>
      <c r="K53" s="63"/>
      <c r="L53" s="63"/>
      <c r="M53" s="84"/>
    </row>
    <row r="54" spans="3:13" ht="15" x14ac:dyDescent="0.25">
      <c r="C54" s="83"/>
      <c r="D54" s="63"/>
      <c r="E54" s="63"/>
      <c r="F54" s="63"/>
      <c r="G54" s="63"/>
      <c r="H54" s="63"/>
      <c r="I54" s="63"/>
      <c r="J54" s="63"/>
      <c r="K54" s="63"/>
      <c r="L54" s="63"/>
      <c r="M54" s="84"/>
    </row>
    <row r="55" spans="3:13" ht="15" x14ac:dyDescent="0.25">
      <c r="C55" s="382" t="s">
        <v>444</v>
      </c>
      <c r="D55" s="383"/>
      <c r="E55" s="383"/>
      <c r="F55" s="383"/>
      <c r="G55" s="63"/>
      <c r="H55" s="63"/>
      <c r="I55" s="63"/>
      <c r="J55" s="63"/>
      <c r="K55" s="63"/>
      <c r="L55" s="63"/>
      <c r="M55" s="84"/>
    </row>
    <row r="56" spans="3:13" ht="15" x14ac:dyDescent="0.25">
      <c r="C56" s="91" t="s">
        <v>147</v>
      </c>
      <c r="D56" s="63"/>
      <c r="E56" s="63"/>
      <c r="F56" s="63"/>
      <c r="G56" s="63"/>
      <c r="H56" s="63"/>
      <c r="I56" s="63"/>
      <c r="J56" s="63"/>
      <c r="K56" s="63"/>
      <c r="L56" s="63"/>
      <c r="M56" s="84"/>
    </row>
    <row r="57" spans="3:13" ht="15" x14ac:dyDescent="0.25">
      <c r="C57" s="83"/>
      <c r="D57" s="63"/>
      <c r="E57" s="63"/>
      <c r="F57" s="63"/>
      <c r="G57" s="63"/>
      <c r="H57" s="63"/>
      <c r="I57" s="63"/>
      <c r="J57" s="63"/>
      <c r="K57" s="63"/>
      <c r="L57" s="63"/>
      <c r="M57" s="84"/>
    </row>
    <row r="58" spans="3:13" ht="15" x14ac:dyDescent="0.25">
      <c r="C58" s="384"/>
      <c r="D58" s="385"/>
      <c r="E58" s="385"/>
      <c r="F58" s="385"/>
      <c r="G58" s="385"/>
      <c r="H58" s="62"/>
      <c r="I58" s="215" t="s">
        <v>106</v>
      </c>
      <c r="J58" s="215"/>
      <c r="K58" s="215"/>
      <c r="L58" s="215"/>
      <c r="M58" s="84"/>
    </row>
    <row r="59" spans="3:13" ht="15.6" x14ac:dyDescent="0.25">
      <c r="C59" s="367" t="s">
        <v>203</v>
      </c>
      <c r="D59" s="368"/>
      <c r="E59" s="368"/>
      <c r="F59" s="368"/>
      <c r="G59" s="368"/>
      <c r="H59" s="77"/>
      <c r="I59" s="205" t="s">
        <v>107</v>
      </c>
      <c r="J59" s="205"/>
      <c r="K59" s="205"/>
      <c r="L59" s="205"/>
      <c r="M59" s="84"/>
    </row>
    <row r="60" spans="3:13" ht="17.399999999999999" x14ac:dyDescent="0.25">
      <c r="C60" s="369" t="s">
        <v>250</v>
      </c>
      <c r="D60" s="370"/>
      <c r="E60" s="370"/>
      <c r="F60" s="370"/>
      <c r="G60" s="370"/>
      <c r="H60" s="62"/>
      <c r="I60" s="207" t="s">
        <v>109</v>
      </c>
      <c r="J60" s="208"/>
      <c r="K60" s="208"/>
      <c r="L60" s="208"/>
      <c r="M60" s="84"/>
    </row>
    <row r="61" spans="3:13" ht="13.8" thickBot="1" x14ac:dyDescent="0.3">
      <c r="C61" s="371"/>
      <c r="D61" s="372"/>
      <c r="E61" s="372"/>
      <c r="F61" s="372"/>
      <c r="G61" s="372"/>
      <c r="H61" s="92"/>
      <c r="I61" s="92"/>
      <c r="J61" s="92"/>
      <c r="K61" s="92"/>
      <c r="L61" s="92"/>
      <c r="M61" s="93"/>
    </row>
    <row r="62" spans="3:13" x14ac:dyDescent="0.25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3:13" x14ac:dyDescent="0.25"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</row>
    <row r="64" spans="3:13" x14ac:dyDescent="0.25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3:13" x14ac:dyDescent="0.25"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3:13" x14ac:dyDescent="0.25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</row>
    <row r="67" spans="3:13" x14ac:dyDescent="0.25"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3:13" ht="15" x14ac:dyDescent="0.25">
      <c r="C68" s="366" t="s">
        <v>148</v>
      </c>
      <c r="D68" s="366"/>
      <c r="E68" s="366"/>
      <c r="F68" s="366"/>
      <c r="G68" s="366"/>
      <c r="H68" s="366"/>
      <c r="I68" s="366"/>
      <c r="J68" s="366"/>
      <c r="K68" s="366"/>
      <c r="L68" s="366"/>
      <c r="M68" s="51"/>
    </row>
    <row r="69" spans="3:13" ht="15.6" x14ac:dyDescent="0.25">
      <c r="C69" s="366" t="s">
        <v>149</v>
      </c>
      <c r="D69" s="366"/>
      <c r="E69" s="366"/>
      <c r="F69" s="366"/>
      <c r="G69" s="366"/>
      <c r="H69" s="366"/>
      <c r="I69" s="366"/>
      <c r="J69" s="366"/>
      <c r="K69" s="366"/>
      <c r="L69" s="63"/>
      <c r="M69" s="73"/>
    </row>
    <row r="70" spans="3:13" ht="17.399999999999999" x14ac:dyDescent="0.25">
      <c r="C70" s="366" t="s">
        <v>150</v>
      </c>
      <c r="D70" s="366"/>
      <c r="E70" s="366"/>
      <c r="F70" s="366"/>
      <c r="G70" s="366"/>
      <c r="H70" s="366"/>
      <c r="I70" s="366"/>
      <c r="J70" s="366"/>
      <c r="K70" s="366"/>
      <c r="L70" s="63"/>
      <c r="M70" s="74"/>
    </row>
    <row r="71" spans="3:13" ht="15" x14ac:dyDescent="0.25">
      <c r="C71" s="366" t="s">
        <v>151</v>
      </c>
      <c r="D71" s="366"/>
      <c r="E71" s="366"/>
      <c r="F71" s="366"/>
      <c r="G71" s="366"/>
      <c r="H71" s="366"/>
      <c r="I71" s="366"/>
      <c r="J71" s="366"/>
      <c r="K71" s="366"/>
      <c r="L71" s="63"/>
      <c r="M71" s="62"/>
    </row>
  </sheetData>
  <mergeCells count="37">
    <mergeCell ref="C13:M13"/>
    <mergeCell ref="G4:I5"/>
    <mergeCell ref="D7:M7"/>
    <mergeCell ref="C9:M9"/>
    <mergeCell ref="C10:M10"/>
    <mergeCell ref="C12:M12"/>
    <mergeCell ref="C6:K6"/>
    <mergeCell ref="C47:H47"/>
    <mergeCell ref="J47:M47"/>
    <mergeCell ref="C18:M18"/>
    <mergeCell ref="D26:F26"/>
    <mergeCell ref="F28:F29"/>
    <mergeCell ref="G28:G29"/>
    <mergeCell ref="H28:K29"/>
    <mergeCell ref="C32:C33"/>
    <mergeCell ref="D32:D33"/>
    <mergeCell ref="E32:H33"/>
    <mergeCell ref="C35:I35"/>
    <mergeCell ref="C36:I36"/>
    <mergeCell ref="C37:I37"/>
    <mergeCell ref="E42:M42"/>
    <mergeCell ref="C46:L46"/>
    <mergeCell ref="C49:M49"/>
    <mergeCell ref="C51:M51"/>
    <mergeCell ref="C52:M52"/>
    <mergeCell ref="C55:F55"/>
    <mergeCell ref="C58:G58"/>
    <mergeCell ref="I58:L58"/>
    <mergeCell ref="C69:K69"/>
    <mergeCell ref="C70:K70"/>
    <mergeCell ref="C71:K71"/>
    <mergeCell ref="C59:G59"/>
    <mergeCell ref="I59:L59"/>
    <mergeCell ref="C60:G60"/>
    <mergeCell ref="I60:L60"/>
    <mergeCell ref="C61:G61"/>
    <mergeCell ref="C68:L68"/>
  </mergeCells>
  <pageMargins left="0.511811024" right="0.511811024" top="0.78740157499999996" bottom="0.78740157499999996" header="0.31496062000000002" footer="0.31496062000000002"/>
  <pageSetup paperSize="9" scale="69" fitToHeight="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zoomScale="80" zoomScaleNormal="80" zoomScalePageLayoutView="80" workbookViewId="0">
      <selection activeCell="E20" sqref="E20"/>
    </sheetView>
  </sheetViews>
  <sheetFormatPr defaultRowHeight="14.4" x14ac:dyDescent="0.3"/>
  <cols>
    <col min="1" max="1" width="9" style="3" customWidth="1"/>
    <col min="2" max="2" width="19.5546875" style="3" customWidth="1"/>
    <col min="3" max="3" width="85.5546875" style="3" customWidth="1"/>
    <col min="4" max="4" width="8" style="3" customWidth="1"/>
    <col min="5" max="5" width="12.5546875" style="3" customWidth="1"/>
    <col min="6" max="6" width="16.33203125" style="3" customWidth="1"/>
    <col min="7" max="7" width="15.88671875" style="3" customWidth="1"/>
    <col min="8" max="8" width="13.6640625" style="3" customWidth="1"/>
    <col min="9" max="9" width="15.6640625" style="3" customWidth="1"/>
    <col min="10" max="10" width="9.109375" style="2"/>
    <col min="11" max="11" width="9.109375" style="3"/>
    <col min="12" max="12" width="9.109375" style="1"/>
  </cols>
  <sheetData>
    <row r="1" spans="1:12" s="6" customFormat="1" ht="15" customHeight="1" x14ac:dyDescent="0.25">
      <c r="A1" s="430" t="s">
        <v>80</v>
      </c>
      <c r="B1" s="431"/>
      <c r="C1" s="431"/>
      <c r="D1" s="431"/>
      <c r="E1" s="431"/>
      <c r="F1" s="431"/>
      <c r="G1" s="431"/>
      <c r="H1" s="431"/>
      <c r="I1" s="431"/>
      <c r="J1" s="7"/>
      <c r="K1" s="4"/>
      <c r="L1" s="5"/>
    </row>
    <row r="2" spans="1:12" s="6" customFormat="1" ht="15" customHeight="1" x14ac:dyDescent="0.25">
      <c r="A2" s="432"/>
      <c r="B2" s="433"/>
      <c r="C2" s="433"/>
      <c r="D2" s="433"/>
      <c r="E2" s="433"/>
      <c r="F2" s="433"/>
      <c r="G2" s="433"/>
      <c r="H2" s="433"/>
      <c r="I2" s="433"/>
      <c r="J2" s="7"/>
      <c r="K2" s="4"/>
      <c r="L2" s="5"/>
    </row>
    <row r="3" spans="1:12" s="6" customFormat="1" ht="15" customHeight="1" thickBot="1" x14ac:dyDescent="0.3">
      <c r="A3" s="434"/>
      <c r="B3" s="435"/>
      <c r="C3" s="435"/>
      <c r="D3" s="435"/>
      <c r="E3" s="435"/>
      <c r="F3" s="435"/>
      <c r="G3" s="435"/>
      <c r="H3" s="436"/>
      <c r="I3" s="436"/>
      <c r="J3" s="7"/>
      <c r="K3" s="4"/>
      <c r="L3" s="5"/>
    </row>
    <row r="4" spans="1:12" s="6" customFormat="1" ht="15" customHeight="1" x14ac:dyDescent="0.25">
      <c r="A4" s="254" t="s">
        <v>21</v>
      </c>
      <c r="B4" s="255"/>
      <c r="C4" s="255"/>
      <c r="D4" s="255"/>
      <c r="E4" s="437"/>
      <c r="F4" s="437"/>
      <c r="G4" s="256"/>
      <c r="H4" s="260" t="s">
        <v>23</v>
      </c>
      <c r="I4" s="261"/>
      <c r="J4" s="7"/>
      <c r="K4" s="4"/>
      <c r="L4" s="5"/>
    </row>
    <row r="5" spans="1:12" s="6" customFormat="1" ht="15" customHeight="1" thickBot="1" x14ac:dyDescent="0.3">
      <c r="A5" s="257"/>
      <c r="B5" s="258"/>
      <c r="C5" s="258"/>
      <c r="D5" s="258"/>
      <c r="E5" s="438"/>
      <c r="F5" s="438"/>
      <c r="G5" s="259"/>
      <c r="H5" s="265" t="s">
        <v>29</v>
      </c>
      <c r="I5" s="266"/>
      <c r="J5" s="7"/>
      <c r="K5" s="4"/>
      <c r="L5" s="5"/>
    </row>
    <row r="6" spans="1:12" s="6" customFormat="1" ht="15" customHeight="1" x14ac:dyDescent="0.25">
      <c r="A6" s="267" t="s">
        <v>86</v>
      </c>
      <c r="B6" s="268"/>
      <c r="C6" s="268"/>
      <c r="D6" s="268"/>
      <c r="E6" s="439"/>
      <c r="F6" s="439"/>
      <c r="G6" s="269"/>
      <c r="H6" s="270" t="s">
        <v>43</v>
      </c>
      <c r="I6" s="271"/>
      <c r="J6" s="7"/>
      <c r="K6" s="4"/>
      <c r="L6" s="5"/>
    </row>
    <row r="7" spans="1:12" s="6" customFormat="1" ht="15" customHeight="1" x14ac:dyDescent="0.25">
      <c r="A7" s="278" t="s">
        <v>40</v>
      </c>
      <c r="B7" s="279"/>
      <c r="C7" s="279"/>
      <c r="D7" s="279"/>
      <c r="E7" s="350"/>
      <c r="F7" s="350"/>
      <c r="G7" s="280"/>
      <c r="H7" s="276" t="s">
        <v>83</v>
      </c>
      <c r="I7" s="277"/>
      <c r="J7" s="7"/>
      <c r="K7" s="4"/>
      <c r="L7" s="5"/>
    </row>
    <row r="8" spans="1:12" s="6" customFormat="1" ht="15" customHeight="1" x14ac:dyDescent="0.25">
      <c r="A8" s="278" t="s">
        <v>41</v>
      </c>
      <c r="B8" s="279"/>
      <c r="C8" s="279"/>
      <c r="D8" s="279"/>
      <c r="E8" s="350"/>
      <c r="F8" s="350"/>
      <c r="G8" s="280"/>
      <c r="H8" s="276"/>
      <c r="I8" s="277"/>
      <c r="J8" s="7"/>
    </row>
    <row r="9" spans="1:12" s="6" customFormat="1" ht="15" customHeight="1" x14ac:dyDescent="0.25">
      <c r="A9" s="440" t="s">
        <v>24</v>
      </c>
      <c r="B9" s="441"/>
      <c r="C9" s="441"/>
      <c r="D9" s="441"/>
      <c r="E9" s="353"/>
      <c r="F9" s="353"/>
      <c r="G9" s="442"/>
      <c r="H9" s="276"/>
      <c r="I9" s="277"/>
      <c r="J9" s="7"/>
    </row>
    <row r="10" spans="1:12" s="6" customFormat="1" ht="29.25" customHeight="1" x14ac:dyDescent="0.25">
      <c r="A10" s="440"/>
      <c r="B10" s="441"/>
      <c r="C10" s="441"/>
      <c r="D10" s="441"/>
      <c r="E10" s="353"/>
      <c r="F10" s="353"/>
      <c r="G10" s="442"/>
      <c r="H10" s="276"/>
      <c r="I10" s="277"/>
      <c r="J10" s="7"/>
    </row>
    <row r="11" spans="1:12" s="6" customFormat="1" ht="15" customHeight="1" thickBot="1" x14ac:dyDescent="0.3">
      <c r="A11" s="219" t="s">
        <v>42</v>
      </c>
      <c r="B11" s="220"/>
      <c r="C11" s="220"/>
      <c r="D11" s="220"/>
      <c r="E11" s="355"/>
      <c r="F11" s="355"/>
      <c r="G11" s="221"/>
      <c r="H11" s="222"/>
      <c r="I11" s="223"/>
      <c r="J11" s="7"/>
    </row>
    <row r="12" spans="1:12" s="6" customFormat="1" ht="15" customHeight="1" thickBot="1" x14ac:dyDescent="0.3">
      <c r="A12" s="418" t="s">
        <v>80</v>
      </c>
      <c r="B12" s="419"/>
      <c r="C12" s="419"/>
      <c r="D12" s="419"/>
      <c r="E12" s="419"/>
      <c r="F12" s="419"/>
      <c r="G12" s="419"/>
      <c r="H12" s="420"/>
      <c r="I12" s="420"/>
      <c r="J12" s="7"/>
    </row>
    <row r="13" spans="1:12" s="6" customFormat="1" ht="15" customHeight="1" x14ac:dyDescent="0.25">
      <c r="A13" s="421" t="s">
        <v>0</v>
      </c>
      <c r="B13" s="421" t="s">
        <v>6</v>
      </c>
      <c r="C13" s="421" t="s">
        <v>12</v>
      </c>
      <c r="D13" s="421" t="s">
        <v>1</v>
      </c>
      <c r="E13" s="426" t="s">
        <v>19</v>
      </c>
      <c r="F13" s="426" t="s">
        <v>82</v>
      </c>
      <c r="G13" s="234" t="s">
        <v>81</v>
      </c>
      <c r="H13" s="336"/>
      <c r="I13" s="422"/>
      <c r="J13" s="7"/>
    </row>
    <row r="14" spans="1:12" s="6" customFormat="1" ht="15" customHeight="1" x14ac:dyDescent="0.25">
      <c r="A14" s="421"/>
      <c r="B14" s="421"/>
      <c r="C14" s="421"/>
      <c r="D14" s="421"/>
      <c r="E14" s="426"/>
      <c r="F14" s="426"/>
      <c r="G14" s="234"/>
      <c r="H14" s="336"/>
      <c r="I14" s="422"/>
      <c r="J14" s="7"/>
    </row>
    <row r="15" spans="1:12" s="6" customFormat="1" ht="15" customHeight="1" x14ac:dyDescent="0.25">
      <c r="A15" s="421"/>
      <c r="B15" s="421"/>
      <c r="C15" s="421"/>
      <c r="D15" s="421"/>
      <c r="E15" s="426"/>
      <c r="F15" s="426"/>
      <c r="G15" s="423"/>
      <c r="H15" s="424"/>
      <c r="I15" s="425"/>
      <c r="J15" s="7"/>
    </row>
    <row r="16" spans="1:12" s="6" customFormat="1" ht="15" customHeight="1" x14ac:dyDescent="0.25">
      <c r="A16" s="42" t="s">
        <v>46</v>
      </c>
      <c r="B16" s="43"/>
      <c r="C16" s="44" t="s">
        <v>44</v>
      </c>
      <c r="D16" s="43"/>
      <c r="E16" s="47"/>
      <c r="F16" s="48"/>
      <c r="G16" s="415"/>
      <c r="H16" s="416"/>
      <c r="I16" s="417"/>
      <c r="J16" s="7"/>
    </row>
    <row r="17" spans="1:12" s="6" customFormat="1" ht="15" customHeight="1" x14ac:dyDescent="0.25">
      <c r="A17" s="20" t="s">
        <v>47</v>
      </c>
      <c r="B17" s="31" t="str">
        <f>'[16]Planilha Orcamentaria'!$B$13</f>
        <v>IIO-PLA-005</v>
      </c>
      <c r="C17" s="22" t="s">
        <v>45</v>
      </c>
      <c r="D17" s="21" t="s">
        <v>70</v>
      </c>
      <c r="E17" s="49">
        <v>1</v>
      </c>
      <c r="F17" s="45">
        <v>1</v>
      </c>
      <c r="G17" s="415" t="s">
        <v>85</v>
      </c>
      <c r="H17" s="416"/>
      <c r="I17" s="417"/>
      <c r="J17" s="7"/>
    </row>
    <row r="18" spans="1:12" s="6" customFormat="1" ht="15" customHeight="1" x14ac:dyDescent="0.25">
      <c r="A18" s="20"/>
      <c r="B18" s="21"/>
      <c r="C18" s="22"/>
      <c r="D18" s="21"/>
      <c r="E18" s="49"/>
      <c r="F18" s="45"/>
      <c r="G18" s="415"/>
      <c r="H18" s="416"/>
      <c r="I18" s="417"/>
      <c r="J18" s="7"/>
    </row>
    <row r="19" spans="1:12" s="6" customFormat="1" ht="15" customHeight="1" x14ac:dyDescent="0.25">
      <c r="A19" s="20" t="s">
        <v>51</v>
      </c>
      <c r="B19" s="21"/>
      <c r="C19" s="33" t="s">
        <v>48</v>
      </c>
      <c r="D19" s="21"/>
      <c r="E19" s="49"/>
      <c r="F19" s="45"/>
      <c r="G19" s="415"/>
      <c r="H19" s="416"/>
      <c r="I19" s="417"/>
      <c r="J19" s="7"/>
    </row>
    <row r="20" spans="1:12" s="6" customFormat="1" ht="15" customHeight="1" x14ac:dyDescent="0.25">
      <c r="A20" s="20" t="s">
        <v>52</v>
      </c>
      <c r="B20" s="21" t="str">
        <f>'[16]Planilha Orcamentaria'!$B$16</f>
        <v>TER-ESC-015</v>
      </c>
      <c r="C20" s="22" t="s">
        <v>49</v>
      </c>
      <c r="D20" s="21" t="s">
        <v>71</v>
      </c>
      <c r="E20" s="49" t="e">
        <f>#REF!</f>
        <v>#REF!</v>
      </c>
      <c r="F20" s="45" t="s">
        <v>87</v>
      </c>
      <c r="G20" s="415" t="s">
        <v>85</v>
      </c>
      <c r="H20" s="416"/>
      <c r="I20" s="417"/>
      <c r="J20" s="7"/>
    </row>
    <row r="21" spans="1:12" s="6" customFormat="1" ht="15" customHeight="1" x14ac:dyDescent="0.25">
      <c r="A21" s="20"/>
      <c r="B21" s="21"/>
      <c r="C21" s="22"/>
      <c r="D21" s="21"/>
      <c r="E21" s="49"/>
      <c r="F21" s="45"/>
      <c r="G21" s="415"/>
      <c r="H21" s="416"/>
      <c r="I21" s="417"/>
      <c r="J21" s="7"/>
    </row>
    <row r="22" spans="1:12" s="6" customFormat="1" ht="15" customHeight="1" x14ac:dyDescent="0.25">
      <c r="A22" s="20"/>
      <c r="B22" s="21"/>
      <c r="C22" s="22"/>
      <c r="D22" s="21"/>
      <c r="E22" s="49"/>
      <c r="F22" s="45"/>
      <c r="G22" s="415"/>
      <c r="H22" s="416"/>
      <c r="I22" s="417"/>
      <c r="J22" s="7"/>
    </row>
    <row r="23" spans="1:12" s="6" customFormat="1" ht="15" customHeight="1" x14ac:dyDescent="0.25">
      <c r="A23" s="20" t="s">
        <v>53</v>
      </c>
      <c r="B23" s="21" t="str">
        <f>'[16]Planilha Orcamentaria'!$B$16</f>
        <v>TER-ESC-015</v>
      </c>
      <c r="C23" s="22" t="s">
        <v>50</v>
      </c>
      <c r="D23" s="21" t="s">
        <v>72</v>
      </c>
      <c r="E23" s="49">
        <v>930</v>
      </c>
      <c r="F23" s="45" t="s">
        <v>88</v>
      </c>
      <c r="G23" s="415" t="s">
        <v>85</v>
      </c>
      <c r="H23" s="416"/>
      <c r="I23" s="417"/>
      <c r="J23" s="7"/>
    </row>
    <row r="24" spans="1:12" s="6" customFormat="1" ht="15" customHeight="1" x14ac:dyDescent="0.25">
      <c r="A24" s="20"/>
      <c r="B24" s="21"/>
      <c r="C24" s="21"/>
      <c r="D24" s="21"/>
      <c r="E24" s="49"/>
      <c r="F24" s="45"/>
      <c r="G24" s="415"/>
      <c r="H24" s="416"/>
      <c r="I24" s="417"/>
      <c r="J24" s="7"/>
    </row>
    <row r="25" spans="1:12" s="6" customFormat="1" ht="15" customHeight="1" x14ac:dyDescent="0.25">
      <c r="A25" s="20" t="s">
        <v>57</v>
      </c>
      <c r="B25" s="21"/>
      <c r="C25" s="33" t="s">
        <v>54</v>
      </c>
      <c r="D25" s="21"/>
      <c r="E25" s="49"/>
      <c r="F25" s="45"/>
      <c r="G25" s="415"/>
      <c r="H25" s="416"/>
      <c r="I25" s="417"/>
      <c r="J25" s="7"/>
      <c r="K25" s="4">
        <f>E23/150</f>
        <v>6.2</v>
      </c>
      <c r="L25" s="5"/>
    </row>
    <row r="26" spans="1:12" s="6" customFormat="1" ht="38.25" customHeight="1" x14ac:dyDescent="0.25">
      <c r="A26" s="20" t="s">
        <v>58</v>
      </c>
      <c r="B26" s="21" t="str">
        <f>'[16]Planilha Orcamentaria'!$B$20</f>
        <v>OBR-VIA-145</v>
      </c>
      <c r="C26" s="34" t="s">
        <v>55</v>
      </c>
      <c r="D26" s="21" t="s">
        <v>71</v>
      </c>
      <c r="E26" s="49" t="e">
        <f>E20</f>
        <v>#REF!</v>
      </c>
      <c r="F26" s="45" t="str">
        <f>F20</f>
        <v>930*0,15</v>
      </c>
      <c r="G26" s="415" t="str">
        <f>G23</f>
        <v>Montavania</v>
      </c>
      <c r="H26" s="416"/>
      <c r="I26" s="417"/>
      <c r="J26" s="7"/>
      <c r="K26" s="4"/>
      <c r="L26" s="5"/>
    </row>
    <row r="27" spans="1:12" s="6" customFormat="1" ht="49.5" customHeight="1" x14ac:dyDescent="0.25">
      <c r="A27" s="20" t="s">
        <v>59</v>
      </c>
      <c r="B27" s="21" t="str">
        <f>'[16]Planilha Orcamentaria'!$B$20</f>
        <v>OBR-VIA-145</v>
      </c>
      <c r="C27" s="34" t="s">
        <v>56</v>
      </c>
      <c r="D27" s="21" t="s">
        <v>72</v>
      </c>
      <c r="E27" s="49" t="e">
        <f>#REF!</f>
        <v>#REF!</v>
      </c>
      <c r="F27" s="45" t="s">
        <v>89</v>
      </c>
      <c r="G27" s="415" t="str">
        <f>G26</f>
        <v>Montavania</v>
      </c>
      <c r="H27" s="416"/>
      <c r="I27" s="417"/>
      <c r="J27" s="7"/>
      <c r="K27" s="4"/>
      <c r="L27" s="5"/>
    </row>
    <row r="28" spans="1:12" s="6" customFormat="1" ht="15" customHeight="1" x14ac:dyDescent="0.25">
      <c r="A28" s="20"/>
      <c r="B28" s="21"/>
      <c r="C28" s="22"/>
      <c r="D28" s="21"/>
      <c r="E28" s="49"/>
      <c r="F28" s="45"/>
      <c r="G28" s="415"/>
      <c r="H28" s="416"/>
      <c r="I28" s="417"/>
      <c r="J28" s="7"/>
      <c r="K28" s="4"/>
      <c r="L28" s="5"/>
    </row>
    <row r="29" spans="1:12" s="6" customFormat="1" ht="15" customHeight="1" x14ac:dyDescent="0.25">
      <c r="A29" s="20" t="s">
        <v>62</v>
      </c>
      <c r="B29" s="21"/>
      <c r="C29" s="33" t="s">
        <v>60</v>
      </c>
      <c r="D29" s="21"/>
      <c r="E29" s="49"/>
      <c r="F29" s="45"/>
      <c r="G29" s="415"/>
      <c r="H29" s="416"/>
      <c r="I29" s="417"/>
      <c r="J29" s="7"/>
      <c r="K29" s="4"/>
      <c r="L29" s="5"/>
    </row>
    <row r="30" spans="1:12" s="6" customFormat="1" ht="32.25" customHeight="1" x14ac:dyDescent="0.25">
      <c r="A30" s="20" t="s">
        <v>63</v>
      </c>
      <c r="B30" s="31" t="str">
        <f>'[16]Planilha Orcamentaria'!$B$25</f>
        <v>DRE-SAR-010</v>
      </c>
      <c r="C30" s="34" t="s">
        <v>61</v>
      </c>
      <c r="D30" s="21" t="s">
        <v>73</v>
      </c>
      <c r="E30" s="49">
        <v>300</v>
      </c>
      <c r="F30" s="45" t="s">
        <v>90</v>
      </c>
      <c r="G30" s="415" t="str">
        <f>G27</f>
        <v>Montavania</v>
      </c>
      <c r="H30" s="416"/>
      <c r="I30" s="417"/>
      <c r="J30" s="7"/>
      <c r="K30" s="4"/>
      <c r="L30" s="5"/>
    </row>
    <row r="31" spans="1:12" s="6" customFormat="1" ht="32.25" customHeight="1" x14ac:dyDescent="0.25">
      <c r="A31" s="20" t="s">
        <v>75</v>
      </c>
      <c r="B31" s="31" t="s">
        <v>76</v>
      </c>
      <c r="C31" s="34" t="s">
        <v>74</v>
      </c>
      <c r="D31" s="21" t="s">
        <v>73</v>
      </c>
      <c r="E31" s="49">
        <v>300</v>
      </c>
      <c r="F31" s="45" t="s">
        <v>90</v>
      </c>
      <c r="G31" s="415" t="str">
        <f>G30</f>
        <v>Montavania</v>
      </c>
      <c r="H31" s="416"/>
      <c r="I31" s="417"/>
      <c r="J31" s="7"/>
      <c r="K31" s="4"/>
      <c r="L31" s="5"/>
    </row>
    <row r="32" spans="1:12" s="6" customFormat="1" ht="15" customHeight="1" x14ac:dyDescent="0.25">
      <c r="A32" s="20"/>
      <c r="B32" s="21"/>
      <c r="C32" s="22"/>
      <c r="D32" s="21"/>
      <c r="E32" s="49"/>
      <c r="F32" s="45"/>
      <c r="G32" s="415"/>
      <c r="H32" s="416"/>
      <c r="I32" s="417"/>
      <c r="J32" s="7"/>
      <c r="K32" s="4"/>
      <c r="L32" s="5"/>
    </row>
    <row r="33" spans="1:12" s="6" customFormat="1" ht="15" customHeight="1" x14ac:dyDescent="0.25">
      <c r="A33" s="20" t="s">
        <v>67</v>
      </c>
      <c r="B33" s="21"/>
      <c r="C33" s="33" t="s">
        <v>64</v>
      </c>
      <c r="D33" s="21"/>
      <c r="E33" s="49"/>
      <c r="F33" s="45"/>
      <c r="G33" s="415"/>
      <c r="H33" s="416"/>
      <c r="I33" s="417"/>
      <c r="J33" s="7"/>
      <c r="K33" s="4"/>
      <c r="L33" s="5"/>
    </row>
    <row r="34" spans="1:12" s="6" customFormat="1" ht="15" customHeight="1" x14ac:dyDescent="0.25">
      <c r="A34" s="20" t="s">
        <v>68</v>
      </c>
      <c r="B34" s="31" t="str">
        <f>'[16]Planilha Orcamentaria'!$B$28</f>
        <v>OBR-VIA-315</v>
      </c>
      <c r="C34" s="34" t="s">
        <v>65</v>
      </c>
      <c r="D34" s="21" t="s">
        <v>77</v>
      </c>
      <c r="E34" s="49" t="e">
        <f>#REF!</f>
        <v>#REF!</v>
      </c>
      <c r="F34" s="45" t="s">
        <v>92</v>
      </c>
      <c r="G34" s="415" t="str">
        <f>G31</f>
        <v>Montavania</v>
      </c>
      <c r="H34" s="416"/>
      <c r="I34" s="417"/>
      <c r="J34" s="7"/>
      <c r="K34" s="4"/>
      <c r="L34" s="5"/>
    </row>
    <row r="35" spans="1:12" s="6" customFormat="1" ht="15" customHeight="1" x14ac:dyDescent="0.25">
      <c r="A35" s="20" t="s">
        <v>69</v>
      </c>
      <c r="B35" s="31" t="str">
        <f>'[16]Planilha Orcamentaria'!$B$28</f>
        <v>OBR-VIA-315</v>
      </c>
      <c r="C35" s="34" t="s">
        <v>66</v>
      </c>
      <c r="D35" s="21" t="s">
        <v>77</v>
      </c>
      <c r="E35" s="49" t="e">
        <f>#REF!</f>
        <v>#REF!</v>
      </c>
      <c r="F35" s="45" t="s">
        <v>94</v>
      </c>
      <c r="G35" s="415" t="str">
        <f>G31</f>
        <v>Montavania</v>
      </c>
      <c r="H35" s="416"/>
      <c r="I35" s="417"/>
      <c r="J35" s="7"/>
      <c r="K35" s="4"/>
      <c r="L35" s="5"/>
    </row>
    <row r="36" spans="1:12" s="6" customFormat="1" ht="15" customHeight="1" x14ac:dyDescent="0.25">
      <c r="A36" s="20" t="s">
        <v>84</v>
      </c>
      <c r="B36" s="31" t="str">
        <f>'[16]Planilha Orcamentaria'!$B$28</f>
        <v>OBR-VIA-315</v>
      </c>
      <c r="C36" s="34" t="s">
        <v>91</v>
      </c>
      <c r="D36" s="21" t="s">
        <v>77</v>
      </c>
      <c r="E36" s="49" t="e">
        <f>#REF!</f>
        <v>#REF!</v>
      </c>
      <c r="F36" s="45" t="s">
        <v>93</v>
      </c>
      <c r="G36" s="415" t="str">
        <f>G31</f>
        <v>Montavania</v>
      </c>
      <c r="H36" s="416"/>
      <c r="I36" s="417"/>
      <c r="J36" s="7"/>
      <c r="K36" s="4"/>
      <c r="L36" s="5"/>
    </row>
    <row r="37" spans="1:12" s="6" customFormat="1" ht="15" customHeight="1" x14ac:dyDescent="0.25">
      <c r="A37" s="20"/>
      <c r="B37" s="21"/>
      <c r="C37" s="33"/>
      <c r="D37" s="21"/>
      <c r="E37" s="49"/>
      <c r="F37" s="45"/>
      <c r="G37" s="415"/>
      <c r="H37" s="416"/>
      <c r="I37" s="417"/>
      <c r="J37" s="7"/>
      <c r="K37" s="4"/>
      <c r="L37" s="5"/>
    </row>
    <row r="38" spans="1:12" s="6" customFormat="1" ht="15" customHeight="1" x14ac:dyDescent="0.25">
      <c r="A38" s="20"/>
      <c r="B38" s="31"/>
      <c r="C38" s="34"/>
      <c r="D38" s="21"/>
      <c r="E38" s="49"/>
      <c r="F38" s="45"/>
      <c r="G38" s="415"/>
      <c r="H38" s="416"/>
      <c r="I38" s="417"/>
      <c r="J38" s="7"/>
      <c r="K38" s="4"/>
      <c r="L38" s="5"/>
    </row>
    <row r="39" spans="1:12" s="6" customFormat="1" ht="15" customHeight="1" x14ac:dyDescent="0.25">
      <c r="A39" s="20"/>
      <c r="B39" s="21"/>
      <c r="C39" s="22"/>
      <c r="D39" s="21"/>
      <c r="E39" s="49"/>
      <c r="F39" s="45"/>
      <c r="G39" s="415"/>
      <c r="H39" s="416"/>
      <c r="I39" s="417"/>
      <c r="J39" s="7"/>
      <c r="K39" s="4"/>
      <c r="L39" s="5"/>
    </row>
    <row r="40" spans="1:12" s="6" customFormat="1" ht="15" customHeight="1" x14ac:dyDescent="0.25">
      <c r="A40" s="20"/>
      <c r="B40" s="21"/>
      <c r="C40" s="35"/>
      <c r="D40" s="21"/>
      <c r="E40" s="45"/>
      <c r="F40" s="45"/>
      <c r="G40" s="415"/>
      <c r="H40" s="416"/>
      <c r="I40" s="417"/>
      <c r="J40" s="7"/>
      <c r="K40" s="4"/>
      <c r="L40" s="5"/>
    </row>
    <row r="41" spans="1:12" s="6" customFormat="1" ht="15" customHeight="1" thickBot="1" x14ac:dyDescent="0.3">
      <c r="A41" s="26"/>
      <c r="B41" s="27"/>
      <c r="C41" s="28"/>
      <c r="D41" s="27"/>
      <c r="E41" s="46"/>
      <c r="F41" s="46"/>
      <c r="G41" s="415"/>
      <c r="H41" s="416"/>
      <c r="I41" s="417"/>
      <c r="J41" s="7"/>
      <c r="K41" s="4"/>
      <c r="L41" s="5"/>
    </row>
    <row r="42" spans="1:12" ht="15" customHeight="1" x14ac:dyDescent="0.3">
      <c r="A42" s="427" t="s">
        <v>31</v>
      </c>
      <c r="B42" s="428"/>
      <c r="C42" s="428"/>
      <c r="D42" s="428"/>
      <c r="E42" s="428"/>
      <c r="F42" s="428"/>
      <c r="G42" s="428"/>
      <c r="H42" s="428"/>
      <c r="I42" s="429"/>
    </row>
    <row r="43" spans="1:12" ht="15" customHeight="1" x14ac:dyDescent="0.3">
      <c r="A43" s="412" t="s">
        <v>26</v>
      </c>
      <c r="B43" s="203"/>
      <c r="C43" s="30" t="s">
        <v>7</v>
      </c>
      <c r="I43" s="36"/>
    </row>
    <row r="44" spans="1:12" ht="15" customHeight="1" x14ac:dyDescent="0.3">
      <c r="A44" s="412" t="s">
        <v>27</v>
      </c>
      <c r="B44" s="203"/>
      <c r="C44" s="30" t="s">
        <v>28</v>
      </c>
      <c r="I44" s="36"/>
    </row>
    <row r="45" spans="1:12" ht="15" customHeight="1" x14ac:dyDescent="0.3">
      <c r="A45" s="412" t="s">
        <v>1</v>
      </c>
      <c r="B45" s="203"/>
      <c r="C45" s="30" t="s">
        <v>5</v>
      </c>
      <c r="I45" s="36"/>
    </row>
    <row r="46" spans="1:12" ht="15" customHeight="1" x14ac:dyDescent="0.3">
      <c r="A46" s="412" t="s">
        <v>30</v>
      </c>
      <c r="B46" s="203"/>
      <c r="C46" s="30" t="s">
        <v>4</v>
      </c>
      <c r="I46" s="36"/>
      <c r="K46"/>
      <c r="L46"/>
    </row>
    <row r="47" spans="1:12" ht="15" customHeight="1" x14ac:dyDescent="0.3">
      <c r="A47" s="412" t="s">
        <v>9</v>
      </c>
      <c r="B47" s="203"/>
      <c r="C47" s="30" t="s">
        <v>10</v>
      </c>
      <c r="D47" s="29"/>
      <c r="E47" s="29"/>
      <c r="F47" s="29"/>
      <c r="I47" s="36"/>
      <c r="K47"/>
      <c r="L47"/>
    </row>
    <row r="48" spans="1:12" ht="15" customHeight="1" x14ac:dyDescent="0.3">
      <c r="A48" s="412" t="s">
        <v>37</v>
      </c>
      <c r="B48" s="203"/>
      <c r="C48" s="30" t="s">
        <v>25</v>
      </c>
      <c r="D48" s="29"/>
      <c r="E48" s="29"/>
      <c r="F48" s="29"/>
      <c r="I48" s="36"/>
    </row>
    <row r="49" spans="1:9" ht="15" customHeight="1" x14ac:dyDescent="0.3">
      <c r="A49" s="412" t="s">
        <v>38</v>
      </c>
      <c r="B49" s="203"/>
      <c r="C49" s="30" t="s">
        <v>39</v>
      </c>
      <c r="D49" s="29"/>
      <c r="E49" s="29"/>
      <c r="F49" s="29"/>
      <c r="I49" s="36"/>
    </row>
    <row r="50" spans="1:9" ht="15" customHeight="1" x14ac:dyDescent="0.3">
      <c r="A50" s="412" t="s">
        <v>8</v>
      </c>
      <c r="B50" s="203"/>
      <c r="C50" s="30" t="s">
        <v>11</v>
      </c>
      <c r="D50" s="29"/>
      <c r="E50" s="29"/>
      <c r="F50" s="29"/>
      <c r="I50" s="36"/>
    </row>
    <row r="51" spans="1:9" ht="15" customHeight="1" x14ac:dyDescent="0.3">
      <c r="A51" s="412" t="s">
        <v>32</v>
      </c>
      <c r="B51" s="203"/>
      <c r="C51" s="30" t="s">
        <v>33</v>
      </c>
      <c r="D51" s="29"/>
      <c r="E51" s="29"/>
      <c r="F51" s="29"/>
      <c r="I51" s="36"/>
    </row>
    <row r="52" spans="1:9" ht="15" thickBot="1" x14ac:dyDescent="0.35">
      <c r="A52" s="413" t="s">
        <v>35</v>
      </c>
      <c r="B52" s="414"/>
      <c r="C52" s="37" t="s">
        <v>36</v>
      </c>
      <c r="D52" s="38"/>
      <c r="E52" s="38"/>
      <c r="F52" s="38"/>
      <c r="G52" s="38"/>
      <c r="H52" s="38"/>
      <c r="I52" s="39"/>
    </row>
  </sheetData>
  <mergeCells count="60">
    <mergeCell ref="A7:G7"/>
    <mergeCell ref="H7:I7"/>
    <mergeCell ref="A8:G8"/>
    <mergeCell ref="H8:I8"/>
    <mergeCell ref="A9:G10"/>
    <mergeCell ref="H9:I9"/>
    <mergeCell ref="H10:I10"/>
    <mergeCell ref="A1:I3"/>
    <mergeCell ref="A4:G5"/>
    <mergeCell ref="H4:I4"/>
    <mergeCell ref="H5:I5"/>
    <mergeCell ref="A6:G6"/>
    <mergeCell ref="H6:I6"/>
    <mergeCell ref="G22:I22"/>
    <mergeCell ref="G23:I23"/>
    <mergeCell ref="A42:I42"/>
    <mergeCell ref="A11:G11"/>
    <mergeCell ref="H11:I1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A47:B47"/>
    <mergeCell ref="A49:B49"/>
    <mergeCell ref="A12:I12"/>
    <mergeCell ref="A13:A15"/>
    <mergeCell ref="B13:B15"/>
    <mergeCell ref="C13:C15"/>
    <mergeCell ref="D13:D15"/>
    <mergeCell ref="G13:I15"/>
    <mergeCell ref="E13:E15"/>
    <mergeCell ref="F13:F15"/>
    <mergeCell ref="G17:I17"/>
    <mergeCell ref="G16:I16"/>
    <mergeCell ref="G18:I18"/>
    <mergeCell ref="G19:I19"/>
    <mergeCell ref="G20:I20"/>
    <mergeCell ref="G21:I21"/>
    <mergeCell ref="A50:B50"/>
    <mergeCell ref="A51:B51"/>
    <mergeCell ref="A52:B52"/>
    <mergeCell ref="G24:I24"/>
    <mergeCell ref="G25:I25"/>
    <mergeCell ref="G26:I26"/>
    <mergeCell ref="G27:I27"/>
    <mergeCell ref="G28:I28"/>
    <mergeCell ref="G29:I29"/>
    <mergeCell ref="G30:I30"/>
    <mergeCell ref="G31:I31"/>
    <mergeCell ref="A43:B43"/>
    <mergeCell ref="A44:B44"/>
    <mergeCell ref="A45:B45"/>
    <mergeCell ref="A46:B46"/>
    <mergeCell ref="A48:B48"/>
  </mergeCells>
  <dataValidations disablePrompts="1" count="1">
    <dataValidation type="list" allowBlank="1" showInputMessage="1" showErrorMessage="1" sqref="H6:I11" xr:uid="{00000000-0002-0000-0300-000000000000}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0" fitToHeight="0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Planilha Orçamentária</vt:lpstr>
      <vt:lpstr>CRON</vt:lpstr>
      <vt:lpstr>Memoria de Calculo c</vt:lpstr>
      <vt:lpstr>COMPOSIÇÃO</vt:lpstr>
      <vt:lpstr>BDI</vt:lpstr>
      <vt:lpstr>CALCULO CALÇAMENTO</vt:lpstr>
      <vt:lpstr>BDI!Area_de_impressao</vt:lpstr>
      <vt:lpstr>'CALCULO CALÇAMENTO'!Area_de_impressao</vt:lpstr>
      <vt:lpstr>COMPOSIÇÃO!Area_de_impressao</vt:lpstr>
      <vt:lpstr>CRON!Area_de_impressao</vt:lpstr>
      <vt:lpstr>'Memoria de Calculo c'!Area_de_impressao</vt:lpstr>
      <vt:lpstr>'Planilha Orçamentária'!Area_de_impressao</vt:lpstr>
      <vt:lpstr>'CALCULO CALÇAMENTO'!Titulos_de_impressao</vt:lpstr>
      <vt:lpstr>'Memoria de Calculo c'!Titulos_de_impressao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Gerrad Ferreira</cp:lastModifiedBy>
  <cp:lastPrinted>2025-08-11T11:23:36Z</cp:lastPrinted>
  <dcterms:created xsi:type="dcterms:W3CDTF">2002-03-27T12:24:52Z</dcterms:created>
  <dcterms:modified xsi:type="dcterms:W3CDTF">2025-08-11T11:23:40Z</dcterms:modified>
</cp:coreProperties>
</file>