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prefeitura\UBS PAC\projetos certos rancharia aprovado 2025\PLANILHAS\CERTO\"/>
    </mc:Choice>
  </mc:AlternateContent>
  <xr:revisionPtr revIDLastSave="0" documentId="13_ncr:1_{A50EB973-3D1A-4669-AF81-9C841DEAD835}" xr6:coauthVersionLast="47" xr6:coauthVersionMax="47" xr10:uidLastSave="{00000000-0000-0000-0000-000000000000}"/>
  <bookViews>
    <workbookView xWindow="-108" yWindow="-108" windowWidth="23256" windowHeight="12576" tabRatio="860" activeTab="5" xr2:uid="{00000000-000D-0000-FFFF-FFFF00000000}"/>
  </bookViews>
  <sheets>
    <sheet name="DADOS GERAIS" sheetId="1" r:id="rId1"/>
    <sheet name="CRONOGRAMA" sheetId="9" r:id="rId2"/>
    <sheet name="RESUMO" sheetId="2" r:id="rId3"/>
    <sheet name="ORC. SINTÉTICO" sheetId="3" r:id="rId4"/>
    <sheet name="CPUS" sheetId="5" r:id="rId5"/>
    <sheet name="BDI " sheetId="6" r:id="rId6"/>
    <sheet name="ENCARGOS SOCIAIS" sheetId="7" r:id="rId7"/>
    <sheet name="JUSTIFICATIVAS CPUS" sheetId="8" r:id="rId8"/>
  </sheets>
  <externalReferences>
    <externalReference r:id="rId9"/>
  </externalReferences>
  <definedNames>
    <definedName name="_AA100000" localSheetId="7">#REF!</definedName>
    <definedName name="_AA100000">#REF!</definedName>
    <definedName name="_Fill" localSheetId="7">#REF!</definedName>
    <definedName name="_Fill">#REF!</definedName>
    <definedName name="_xlnm._FilterDatabase" localSheetId="4" hidden="1">CPUS!$A$16:$Y$8326</definedName>
    <definedName name="_xlnm._FilterDatabase" localSheetId="7" hidden="1">'JUSTIFICATIVAS CPUS'!$B$15:$I$149</definedName>
    <definedName name="_xlnm._FilterDatabase" localSheetId="3" hidden="1">'ORC. SINTÉTICO'!$A$20:$AG$450</definedName>
    <definedName name="_LOC10" localSheetId="7">#REF!</definedName>
    <definedName name="_LOC10">#REF!</definedName>
    <definedName name="_LOC11" localSheetId="7">#REF!</definedName>
    <definedName name="_LOC11">#REF!</definedName>
    <definedName name="_LOC12" localSheetId="7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4">CPUS!$A$1:$L$169</definedName>
    <definedName name="_xlnm.Print_Area" localSheetId="1">CRONOGRAMA!$A$1:$R$56</definedName>
    <definedName name="_xlnm.Print_Area" localSheetId="0">'DADOS GERAIS'!$A$1:$F$34</definedName>
    <definedName name="_xlnm.Print_Area" localSheetId="7">'JUSTIFICATIVAS CPUS'!$A$1:$I$160</definedName>
    <definedName name="_xlnm.Print_Area" localSheetId="3">'ORC. SINTÉTICO'!$B$2:$O$482</definedName>
    <definedName name="_xlnm.Print_Area" localSheetId="2">RESUMO!$A$1:$G$52</definedName>
    <definedName name="Área_impressão_IM" localSheetId="7">#REF!</definedName>
    <definedName name="Área_impressão_IM">#REF!</definedName>
    <definedName name="B.01.05.10.10" localSheetId="7">#REF!</definedName>
    <definedName name="B.01.05.10.10">#REF!</definedName>
    <definedName name="CD" localSheetId="7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4">CPUS!$2:$15</definedName>
    <definedName name="_xlnm.Print_Titles" localSheetId="7">'JUSTIFICATIVAS CPUS'!$1:$15</definedName>
    <definedName name="tot_infra_1" localSheetId="7">#REF!</definedName>
    <definedName name="tot_infra_1">#REF!</definedName>
    <definedName name="TOTAL_GERAL" localSheetId="7">#REF!</definedName>
    <definedName name="TOTAL_GERAL">#REF!</definedName>
    <definedName name="TOTALCRONOGRA" localSheetId="7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5">'BDI '!$A$1:$G$56</definedName>
    <definedName name="Z_0306F0C2_70DB_4729_BB6A_5299B1A5AEA0_.wvu.PrintArea" localSheetId="6">'ENCARGOS SOCIAIS'!$A$1:$G$74</definedName>
    <definedName name="Z_12376024_9872_4870_B42C_DF0FD31EC62E_.wvu.PrintArea" localSheetId="5">'BDI '!$A$1:$G$56</definedName>
    <definedName name="Z_12376024_9872_4870_B42C_DF0FD31EC62E_.wvu.PrintArea" localSheetId="6">'ENCARGOS SOCIAIS'!$A$1:$G$74</definedName>
    <definedName name="Z_12538664_79C6_4AAD_BD81_5363A5F496D7_.wvu.PrintArea" localSheetId="4">CPUS!$B$2:$J$281</definedName>
    <definedName name="Z_12538664_79C6_4AAD_BD81_5363A5F496D7_.wvu.PrintArea" localSheetId="1">CRONOGRAMA!$B$2:$F$56</definedName>
    <definedName name="Z_12538664_79C6_4AAD_BD81_5363A5F496D7_.wvu.PrintArea" localSheetId="0">'DADOS GERAIS'!$B$2:$E$34</definedName>
    <definedName name="Z_12538664_79C6_4AAD_BD81_5363A5F496D7_.wvu.PrintArea" localSheetId="3">'ORC. SINTÉTICO'!$B$2:$L$282</definedName>
    <definedName name="Z_12538664_79C6_4AAD_BD81_5363A5F496D7_.wvu.PrintArea" localSheetId="2">RESUMO!$B$2:$F$52</definedName>
    <definedName name="Z_12538664_79C6_4AAD_BD81_5363A5F496D7_.wvu.Rows" localSheetId="4">CPUS!$285:$290</definedName>
    <definedName name="Z_12538664_79C6_4AAD_BD81_5363A5F496D7_.wvu.Rows" localSheetId="3">'ORC. SINTÉTICO'!$286:$290</definedName>
    <definedName name="Z_18D9C5C8_6EC0_4507_ACF1_BEE4D54D4AE8_.wvu.PrintArea" localSheetId="4">CPUS!$B$2:$J$281</definedName>
    <definedName name="Z_18D9C5C8_6EC0_4507_ACF1_BEE4D54D4AE8_.wvu.PrintArea" localSheetId="1">CRONOGRAMA!$B$2:$F$56</definedName>
    <definedName name="Z_18D9C5C8_6EC0_4507_ACF1_BEE4D54D4AE8_.wvu.PrintArea" localSheetId="0">'DADOS GERAIS'!$B$2:$E$34</definedName>
    <definedName name="Z_18D9C5C8_6EC0_4507_ACF1_BEE4D54D4AE8_.wvu.PrintArea" localSheetId="3">'ORC. SINTÉTICO'!$B$2:$L$282</definedName>
    <definedName name="Z_18D9C5C8_6EC0_4507_ACF1_BEE4D54D4AE8_.wvu.PrintArea" localSheetId="2">RESUMO!$B$2:$F$52</definedName>
    <definedName name="Z_18D9C5C8_6EC0_4507_ACF1_BEE4D54D4AE8_.wvu.Rows" localSheetId="4">CPUS!$285:$290</definedName>
    <definedName name="Z_18D9C5C8_6EC0_4507_ACF1_BEE4D54D4AE8_.wvu.Rows" localSheetId="3">'ORC. SINTÉTICO'!$286:$290</definedName>
    <definedName name="Z_2675BA43_8563_4FE8_9385_CEC837618B0A_.wvu.PrintArea" localSheetId="7">'JUSTIFICATIVAS CPUS'!$B$14:$I$15</definedName>
    <definedName name="Z_28B41BAB_DC76_480E_A1E5_0680F2E379B7_.wvu.PrintArea" localSheetId="7">'JUSTIFICATIVAS CPUS'!$B$14:$I$15</definedName>
    <definedName name="Z_2C035CC8_3055_44F7_AAA9_AD9C9EF12435_.wvu.PrintArea" localSheetId="7">'JUSTIFICATIVAS CPUS'!$B$14:$I$15</definedName>
    <definedName name="Z_31669B58_6052_4B28_A2A6_B4D646275034_.wvu.PrintArea" localSheetId="5">'BDI '!$A$1:$G$56</definedName>
    <definedName name="Z_31669B58_6052_4B28_A2A6_B4D646275034_.wvu.PrintArea" localSheetId="6">'ENCARGOS SOCIAIS'!$A$1:$G$74</definedName>
    <definedName name="Z_53D497E1_E826_4F8A_992E_431F101CA300_.wvu.PrintArea" localSheetId="7">'JUSTIFICATIVAS CPUS'!$B$14:$I$15</definedName>
    <definedName name="Z_5C936B0E_B1B0_4680_9496_257339E19331_.wvu.PrintArea" localSheetId="5">'BDI '!$A$1:$G$56</definedName>
    <definedName name="Z_5C936B0E_B1B0_4680_9496_257339E19331_.wvu.PrintArea" localSheetId="6">'ENCARGOS SOCIAIS'!$A$1:$G$74</definedName>
    <definedName name="Z_5EB5A1F5_D41C_4922_9EB6_0F91F671DD29_.wvu.PrintArea" localSheetId="5">'BDI '!$A$1:$G$56</definedName>
    <definedName name="Z_5EB5A1F5_D41C_4922_9EB6_0F91F671DD29_.wvu.PrintArea" localSheetId="6">'ENCARGOS SOCIAIS'!$A$1:$G$74</definedName>
    <definedName name="Z_6C4A5780_A529_48FA_99BA_79BD868CD359_.wvu.PrintArea" localSheetId="7">'JUSTIFICATIVAS CPUS'!$B$14:$I$15</definedName>
    <definedName name="Z_6CEAEE79_3031_4A07_9C1B_BEA3A33B6E8E_.wvu.PrintArea" localSheetId="5">'BDI '!$A$1:$G$56</definedName>
    <definedName name="Z_6CEAEE79_3031_4A07_9C1B_BEA3A33B6E8E_.wvu.PrintArea" localSheetId="6">'ENCARGOS SOCIAIS'!$A$1:$G$74</definedName>
    <definedName name="Z_7FF15CC8_DB84_4698_8C98_3A52BD743E2D_.wvu.PrintArea" localSheetId="7">'JUSTIFICATIVAS CPUS'!$B$14:$I$15</definedName>
    <definedName name="Z_8AD65702_4E2C_47D8_8007_38AB6DC80A2F_.wvu.PrintArea" localSheetId="7">'JUSTIFICATIVAS CPUS'!$B$14:$I$15</definedName>
    <definedName name="Z_8D21F177_5E6A_4C44_9891_68BF06A93C62_.wvu.PrintArea" localSheetId="7">'JUSTIFICATIVAS CPUS'!$B$14:$I$15</definedName>
    <definedName name="Z_A07C36CD_65E3_4A21_B956_D1766C5EB84D_.wvu.PrintArea" localSheetId="7">'JUSTIFICATIVAS CPUS'!$B$14:$I$15</definedName>
    <definedName name="Z_A951D8EB_0DF5_4872_832B_26DF5B5ABADD_.wvu.PrintArea" localSheetId="7">'JUSTIFICATIVAS CPUS'!$B$14:$I$15</definedName>
    <definedName name="Z_CA485D5E_5C09_4636_B7A6_10EC2B405CCB_.wvu.PrintArea" localSheetId="4">CPUS!$B$1:$J$284</definedName>
    <definedName name="Z_CA485D5E_5C09_4636_B7A6_10EC2B405CCB_.wvu.PrintArea" localSheetId="1">CRONOGRAMA!$A$1:$G$56</definedName>
    <definedName name="Z_CA485D5E_5C09_4636_B7A6_10EC2B405CCB_.wvu.PrintArea" localSheetId="0">'DADOS GERAIS'!$A$1:$F$35</definedName>
    <definedName name="Z_CA485D5E_5C09_4636_B7A6_10EC2B405CCB_.wvu.PrintArea" localSheetId="3">'ORC. SINTÉTICO'!$B$1:$L$285</definedName>
    <definedName name="Z_CA485D5E_5C09_4636_B7A6_10EC2B405CCB_.wvu.PrintArea" localSheetId="2">RESUMO!$A$1:$G$52</definedName>
    <definedName name="Z_CA485D5E_5C09_4636_B7A6_10EC2B405CCB_.wvu.Rows" localSheetId="4">CPUS!$285:$290</definedName>
    <definedName name="Z_CA485D5E_5C09_4636_B7A6_10EC2B405CCB_.wvu.Rows" localSheetId="3">'ORC. SINTÉTICO'!$286:$290</definedName>
    <definedName name="Z_E00A2F2B_5FAE_482A_B5C1_08D9DD4D80BE_.wvu.PrintArea" localSheetId="7">'JUSTIFICATIVAS CPUS'!$B$14:$I$15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1" i="3" l="1"/>
  <c r="N338" i="3"/>
  <c r="N217" i="3"/>
  <c r="K379" i="3"/>
  <c r="J471" i="3" l="1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49" i="3"/>
  <c r="J447" i="3"/>
  <c r="J445" i="3"/>
  <c r="J442" i="3"/>
  <c r="J441" i="3"/>
  <c r="J440" i="3"/>
  <c r="J439" i="3"/>
  <c r="J438" i="3"/>
  <c r="J437" i="3"/>
  <c r="J436" i="3"/>
  <c r="J435" i="3"/>
  <c r="J434" i="3"/>
  <c r="J433" i="3"/>
  <c r="J432" i="3"/>
  <c r="J430" i="3"/>
  <c r="J429" i="3"/>
  <c r="J428" i="3"/>
  <c r="J427" i="3"/>
  <c r="J426" i="3"/>
  <c r="J425" i="3"/>
  <c r="J424" i="3"/>
  <c r="J423" i="3"/>
  <c r="J421" i="3"/>
  <c r="J420" i="3"/>
  <c r="J419" i="3"/>
  <c r="J418" i="3"/>
  <c r="J416" i="3"/>
  <c r="J415" i="3"/>
  <c r="J414" i="3"/>
  <c r="J413" i="3"/>
  <c r="J412" i="3"/>
  <c r="J411" i="3"/>
  <c r="J410" i="3"/>
  <c r="J409" i="3"/>
  <c r="J408" i="3"/>
  <c r="J407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0" i="3"/>
  <c r="J389" i="3"/>
  <c r="J388" i="3"/>
  <c r="J387" i="3"/>
  <c r="J386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1" i="3"/>
  <c r="J320" i="3"/>
  <c r="J319" i="3"/>
  <c r="J318" i="3"/>
  <c r="J317" i="3"/>
  <c r="J316" i="3"/>
  <c r="J315" i="3"/>
  <c r="J314" i="3"/>
  <c r="J313" i="3"/>
  <c r="J312" i="3"/>
  <c r="J311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5" i="3"/>
  <c r="J194" i="3"/>
  <c r="J193" i="3"/>
  <c r="J192" i="3"/>
  <c r="J191" i="3"/>
  <c r="J190" i="3"/>
  <c r="J189" i="3"/>
  <c r="J187" i="3"/>
  <c r="J184" i="3"/>
  <c r="J182" i="3"/>
  <c r="J181" i="3"/>
  <c r="J179" i="3"/>
  <c r="J178" i="3"/>
  <c r="J176" i="3"/>
  <c r="J175" i="3"/>
  <c r="J173" i="3"/>
  <c r="J174" i="3"/>
  <c r="J170" i="3"/>
  <c r="J168" i="3"/>
  <c r="J167" i="3"/>
  <c r="J164" i="3"/>
  <c r="J161" i="3"/>
  <c r="J159" i="3"/>
  <c r="J157" i="3"/>
  <c r="J156" i="3"/>
  <c r="J153" i="3"/>
  <c r="J151" i="3"/>
  <c r="J150" i="3"/>
  <c r="J149" i="3"/>
  <c r="J146" i="3"/>
  <c r="J145" i="3"/>
  <c r="J144" i="3"/>
  <c r="J143" i="3"/>
  <c r="J142" i="3"/>
  <c r="J141" i="3"/>
  <c r="J140" i="3"/>
  <c r="J138" i="3"/>
  <c r="J135" i="3"/>
  <c r="J134" i="3"/>
  <c r="J133" i="3"/>
  <c r="J131" i="3"/>
  <c r="J130" i="3"/>
  <c r="J129" i="3"/>
  <c r="J128" i="3"/>
  <c r="J127" i="3"/>
  <c r="J124" i="3"/>
  <c r="J123" i="3"/>
  <c r="J122" i="3"/>
  <c r="J121" i="3"/>
  <c r="J120" i="3"/>
  <c r="J119" i="3"/>
  <c r="J115" i="3"/>
  <c r="J114" i="3"/>
  <c r="J112" i="3"/>
  <c r="J111" i="3"/>
  <c r="J110" i="3"/>
  <c r="J108" i="3"/>
  <c r="J107" i="3"/>
  <c r="J105" i="3"/>
  <c r="J104" i="3"/>
  <c r="J103" i="3"/>
  <c r="J100" i="3"/>
  <c r="J98" i="3"/>
  <c r="J97" i="3"/>
  <c r="J96" i="3"/>
  <c r="J95" i="3"/>
  <c r="J93" i="3"/>
  <c r="J92" i="3"/>
  <c r="J91" i="3"/>
  <c r="J90" i="3"/>
  <c r="J89" i="3"/>
  <c r="J88" i="3"/>
  <c r="J85" i="3"/>
  <c r="J83" i="3"/>
  <c r="J82" i="3"/>
  <c r="J81" i="3"/>
  <c r="J80" i="3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3" i="3"/>
  <c r="J52" i="3"/>
  <c r="J51" i="3"/>
  <c r="J50" i="3"/>
  <c r="J49" i="3"/>
  <c r="J48" i="3"/>
  <c r="J47" i="3"/>
  <c r="J46" i="3"/>
  <c r="J45" i="3"/>
  <c r="J44" i="3"/>
  <c r="J43" i="3"/>
  <c r="J4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L451" i="3" s="1"/>
  <c r="I449" i="3"/>
  <c r="I447" i="3"/>
  <c r="I445" i="3"/>
  <c r="I442" i="3"/>
  <c r="I441" i="3"/>
  <c r="I440" i="3"/>
  <c r="I439" i="3"/>
  <c r="I438" i="3"/>
  <c r="I437" i="3"/>
  <c r="I436" i="3"/>
  <c r="I435" i="3"/>
  <c r="I434" i="3"/>
  <c r="I433" i="3"/>
  <c r="I432" i="3"/>
  <c r="I430" i="3"/>
  <c r="I429" i="3"/>
  <c r="I428" i="3"/>
  <c r="I427" i="3"/>
  <c r="I426" i="3"/>
  <c r="I425" i="3"/>
  <c r="I424" i="3"/>
  <c r="I423" i="3"/>
  <c r="I421" i="3"/>
  <c r="I420" i="3"/>
  <c r="I419" i="3"/>
  <c r="I418" i="3"/>
  <c r="I416" i="3"/>
  <c r="I415" i="3"/>
  <c r="I414" i="3"/>
  <c r="I413" i="3"/>
  <c r="I412" i="3"/>
  <c r="I411" i="3"/>
  <c r="I410" i="3"/>
  <c r="I409" i="3"/>
  <c r="I408" i="3"/>
  <c r="I407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0" i="3"/>
  <c r="I389" i="3"/>
  <c r="I388" i="3"/>
  <c r="I387" i="3"/>
  <c r="I386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1" i="3"/>
  <c r="I320" i="3"/>
  <c r="I319" i="3"/>
  <c r="I318" i="3"/>
  <c r="I317" i="3"/>
  <c r="I316" i="3"/>
  <c r="I315" i="3"/>
  <c r="I314" i="3"/>
  <c r="I313" i="3"/>
  <c r="I312" i="3"/>
  <c r="I311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5" i="3"/>
  <c r="I194" i="3"/>
  <c r="I193" i="3"/>
  <c r="I192" i="3"/>
  <c r="I191" i="3"/>
  <c r="I190" i="3"/>
  <c r="I189" i="3"/>
  <c r="I187" i="3"/>
  <c r="I184" i="3"/>
  <c r="I182" i="3"/>
  <c r="I181" i="3"/>
  <c r="I179" i="3"/>
  <c r="I178" i="3"/>
  <c r="I176" i="3"/>
  <c r="I175" i="3"/>
  <c r="I174" i="3"/>
  <c r="I173" i="3"/>
  <c r="I170" i="3"/>
  <c r="I168" i="3"/>
  <c r="I167" i="3"/>
  <c r="I164" i="3"/>
  <c r="I161" i="3"/>
  <c r="I159" i="3"/>
  <c r="I157" i="3"/>
  <c r="I156" i="3"/>
  <c r="I153" i="3"/>
  <c r="I151" i="3"/>
  <c r="I150" i="3"/>
  <c r="I149" i="3"/>
  <c r="I146" i="3"/>
  <c r="I145" i="3"/>
  <c r="I144" i="3"/>
  <c r="I143" i="3"/>
  <c r="I142" i="3"/>
  <c r="I141" i="3"/>
  <c r="I140" i="3"/>
  <c r="I138" i="3"/>
  <c r="I135" i="3"/>
  <c r="I134" i="3"/>
  <c r="I133" i="3"/>
  <c r="I131" i="3"/>
  <c r="I130" i="3"/>
  <c r="I129" i="3"/>
  <c r="I128" i="3"/>
  <c r="I127" i="3"/>
  <c r="I124" i="3"/>
  <c r="I123" i="3"/>
  <c r="I122" i="3"/>
  <c r="I121" i="3"/>
  <c r="I120" i="3"/>
  <c r="I119" i="3"/>
  <c r="I115" i="3"/>
  <c r="I114" i="3"/>
  <c r="I112" i="3"/>
  <c r="I111" i="3"/>
  <c r="I110" i="3"/>
  <c r="I108" i="3"/>
  <c r="I107" i="3"/>
  <c r="I105" i="3"/>
  <c r="I104" i="3"/>
  <c r="I103" i="3"/>
  <c r="I100" i="3"/>
  <c r="I98" i="3"/>
  <c r="I97" i="3"/>
  <c r="I96" i="3"/>
  <c r="I95" i="3"/>
  <c r="I93" i="3"/>
  <c r="I92" i="3"/>
  <c r="I91" i="3"/>
  <c r="I90" i="3"/>
  <c r="I89" i="3"/>
  <c r="I88" i="3"/>
  <c r="I85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2" i="3"/>
  <c r="I61" i="3"/>
  <c r="I60" i="3"/>
  <c r="I59" i="3"/>
  <c r="I58" i="3"/>
  <c r="I57" i="3"/>
  <c r="I56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J41" i="3"/>
  <c r="I40" i="3"/>
  <c r="J40" i="3"/>
  <c r="J39" i="3"/>
  <c r="I39" i="3"/>
  <c r="J38" i="3"/>
  <c r="I38" i="3"/>
  <c r="J36" i="3"/>
  <c r="I36" i="3"/>
  <c r="J34" i="3"/>
  <c r="I34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I25" i="3"/>
  <c r="J25" i="3"/>
  <c r="J24" i="3"/>
  <c r="I24" i="3"/>
  <c r="J23" i="3"/>
  <c r="I23" i="3"/>
  <c r="K11" i="3"/>
  <c r="M9" i="3"/>
  <c r="B15" i="3"/>
  <c r="F18" i="9"/>
  <c r="B18" i="9"/>
  <c r="F9" i="9"/>
  <c r="F8" i="9"/>
  <c r="B8" i="9"/>
  <c r="G464" i="3"/>
  <c r="G463" i="3"/>
  <c r="G470" i="3" s="1"/>
  <c r="G468" i="3"/>
  <c r="G465" i="3"/>
  <c r="G467" i="3" s="1"/>
  <c r="G461" i="3"/>
  <c r="G457" i="3"/>
  <c r="G456" i="3"/>
  <c r="G455" i="3"/>
  <c r="G454" i="3"/>
  <c r="G458" i="3"/>
  <c r="G460" i="3" s="1"/>
  <c r="G453" i="3"/>
  <c r="M451" i="3"/>
  <c r="G452" i="3"/>
  <c r="M452" i="3" l="1"/>
  <c r="K456" i="3"/>
  <c r="K454" i="3"/>
  <c r="K464" i="3"/>
  <c r="L452" i="3"/>
  <c r="K451" i="3"/>
  <c r="K465" i="3"/>
  <c r="G459" i="3"/>
  <c r="L459" i="3" s="1"/>
  <c r="K453" i="3"/>
  <c r="K455" i="3"/>
  <c r="K457" i="3"/>
  <c r="K459" i="3"/>
  <c r="K463" i="3"/>
  <c r="K468" i="3"/>
  <c r="M454" i="3"/>
  <c r="L468" i="3"/>
  <c r="L464" i="3"/>
  <c r="L455" i="3"/>
  <c r="M467" i="3"/>
  <c r="M464" i="3"/>
  <c r="G466" i="3"/>
  <c r="L466" i="3" s="1"/>
  <c r="G462" i="3"/>
  <c r="M462" i="3" s="1"/>
  <c r="M460" i="3"/>
  <c r="K470" i="3"/>
  <c r="L470" i="3"/>
  <c r="K469" i="3"/>
  <c r="K467" i="3"/>
  <c r="K466" i="3"/>
  <c r="M465" i="3"/>
  <c r="K462" i="3"/>
  <c r="K461" i="3"/>
  <c r="L461" i="3"/>
  <c r="K460" i="3"/>
  <c r="L460" i="3"/>
  <c r="K458" i="3"/>
  <c r="M458" i="3"/>
  <c r="L457" i="3"/>
  <c r="L456" i="3"/>
  <c r="L453" i="3"/>
  <c r="K452" i="3"/>
  <c r="G471" i="3"/>
  <c r="G469" i="3"/>
  <c r="M469" i="3" s="1"/>
  <c r="L463" i="3"/>
  <c r="M470" i="3"/>
  <c r="M468" i="3"/>
  <c r="L467" i="3"/>
  <c r="M466" i="3"/>
  <c r="L465" i="3"/>
  <c r="M463" i="3"/>
  <c r="M461" i="3"/>
  <c r="L458" i="3"/>
  <c r="M457" i="3"/>
  <c r="M456" i="3"/>
  <c r="M455" i="3"/>
  <c r="L454" i="3"/>
  <c r="M453" i="3"/>
  <c r="M459" i="3" l="1"/>
  <c r="L469" i="3"/>
  <c r="L462" i="3"/>
  <c r="M210" i="3"/>
  <c r="K210" i="3" l="1"/>
  <c r="L210" i="3"/>
  <c r="L148" i="5"/>
  <c r="M249" i="3" s="1"/>
  <c r="L147" i="5"/>
  <c r="L146" i="5"/>
  <c r="L149" i="5" s="1"/>
  <c r="H249" i="3" s="1"/>
  <c r="M252" i="3"/>
  <c r="K249" i="3" l="1"/>
  <c r="K252" i="3"/>
  <c r="L252" i="3"/>
  <c r="N252" i="3" s="1"/>
  <c r="L249" i="3"/>
  <c r="N249" i="3" s="1"/>
  <c r="L165" i="5"/>
  <c r="L164" i="5"/>
  <c r="L167" i="5" s="1"/>
  <c r="H436" i="3" s="1"/>
  <c r="L166" i="5"/>
  <c r="M436" i="3" s="1"/>
  <c r="L437" i="3"/>
  <c r="M437" i="3"/>
  <c r="L438" i="3"/>
  <c r="M438" i="3"/>
  <c r="L440" i="3"/>
  <c r="L295" i="3"/>
  <c r="M295" i="3"/>
  <c r="M294" i="3"/>
  <c r="L294" i="3"/>
  <c r="M296" i="3"/>
  <c r="L288" i="3"/>
  <c r="M198" i="3"/>
  <c r="M213" i="3"/>
  <c r="L213" i="3"/>
  <c r="L436" i="3" l="1"/>
  <c r="K213" i="3"/>
  <c r="K296" i="3"/>
  <c r="K438" i="3"/>
  <c r="K288" i="3"/>
  <c r="K440" i="3"/>
  <c r="N438" i="3"/>
  <c r="K198" i="3"/>
  <c r="M288" i="3"/>
  <c r="N288" i="3" s="1"/>
  <c r="N213" i="3"/>
  <c r="M440" i="3"/>
  <c r="L198" i="3"/>
  <c r="N198" i="3" s="1"/>
  <c r="L296" i="3"/>
  <c r="N296" i="3" s="1"/>
  <c r="K437" i="3"/>
  <c r="N437" i="3"/>
  <c r="K295" i="3"/>
  <c r="N295" i="3"/>
  <c r="K294" i="3"/>
  <c r="L123" i="3"/>
  <c r="M93" i="3"/>
  <c r="L93" i="3"/>
  <c r="M471" i="3"/>
  <c r="L471" i="3"/>
  <c r="K471" i="3"/>
  <c r="G449" i="3"/>
  <c r="M447" i="3"/>
  <c r="L447" i="3"/>
  <c r="M445" i="3"/>
  <c r="L445" i="3"/>
  <c r="M442" i="3"/>
  <c r="L442" i="3"/>
  <c r="M441" i="3"/>
  <c r="L441" i="3"/>
  <c r="M439" i="3"/>
  <c r="L439" i="3"/>
  <c r="M435" i="3"/>
  <c r="L435" i="3"/>
  <c r="M434" i="3"/>
  <c r="M433" i="3"/>
  <c r="L433" i="3"/>
  <c r="M432" i="3"/>
  <c r="M430" i="3"/>
  <c r="L430" i="3"/>
  <c r="M429" i="3"/>
  <c r="L429" i="3"/>
  <c r="M428" i="3"/>
  <c r="L428" i="3"/>
  <c r="M427" i="3"/>
  <c r="L427" i="3"/>
  <c r="M426" i="3"/>
  <c r="L426" i="3"/>
  <c r="M425" i="3"/>
  <c r="L425" i="3"/>
  <c r="M424" i="3"/>
  <c r="L424" i="3"/>
  <c r="M423" i="3"/>
  <c r="L423" i="3"/>
  <c r="M421" i="3"/>
  <c r="L421" i="3"/>
  <c r="M420" i="3"/>
  <c r="L420" i="3"/>
  <c r="M419" i="3"/>
  <c r="M418" i="3"/>
  <c r="L418" i="3"/>
  <c r="M416" i="3"/>
  <c r="L416" i="3"/>
  <c r="M415" i="3"/>
  <c r="L415" i="3"/>
  <c r="M414" i="3"/>
  <c r="L414" i="3"/>
  <c r="L413" i="3"/>
  <c r="L412" i="3"/>
  <c r="M411" i="3"/>
  <c r="L411" i="3"/>
  <c r="M410" i="3"/>
  <c r="L410" i="3"/>
  <c r="M409" i="3"/>
  <c r="L409" i="3"/>
  <c r="M408" i="3"/>
  <c r="L408" i="3"/>
  <c r="M407" i="3"/>
  <c r="L407" i="3"/>
  <c r="M404" i="3"/>
  <c r="L404" i="3"/>
  <c r="M403" i="3"/>
  <c r="L403" i="3"/>
  <c r="M402" i="3"/>
  <c r="L402" i="3"/>
  <c r="L401" i="3"/>
  <c r="M400" i="3"/>
  <c r="L400" i="3"/>
  <c r="M399" i="3"/>
  <c r="L399" i="3"/>
  <c r="M398" i="3"/>
  <c r="L398" i="3"/>
  <c r="L397" i="3"/>
  <c r="M396" i="3"/>
  <c r="M395" i="3"/>
  <c r="L395" i="3"/>
  <c r="M394" i="3"/>
  <c r="L394" i="3"/>
  <c r="L393" i="3"/>
  <c r="L392" i="3"/>
  <c r="M390" i="3"/>
  <c r="L390" i="3"/>
  <c r="M389" i="3"/>
  <c r="L389" i="3"/>
  <c r="M388" i="3"/>
  <c r="M387" i="3"/>
  <c r="M386" i="3"/>
  <c r="L386" i="3"/>
  <c r="L384" i="3"/>
  <c r="M383" i="3"/>
  <c r="L383" i="3"/>
  <c r="M382" i="3"/>
  <c r="L382" i="3"/>
  <c r="M381" i="3"/>
  <c r="L381" i="3"/>
  <c r="M380" i="3"/>
  <c r="L380" i="3"/>
  <c r="M379" i="3"/>
  <c r="L379" i="3"/>
  <c r="M378" i="3"/>
  <c r="M377" i="3"/>
  <c r="L377" i="3"/>
  <c r="M376" i="3"/>
  <c r="L376" i="3"/>
  <c r="M375" i="3"/>
  <c r="M374" i="3"/>
  <c r="M373" i="3"/>
  <c r="L373" i="3"/>
  <c r="M372" i="3"/>
  <c r="L372" i="3"/>
  <c r="M371" i="3"/>
  <c r="M370" i="3"/>
  <c r="M369" i="3"/>
  <c r="L369" i="3"/>
  <c r="M368" i="3"/>
  <c r="L368" i="3"/>
  <c r="M367" i="3"/>
  <c r="L367" i="3"/>
  <c r="M366" i="3"/>
  <c r="M365" i="3"/>
  <c r="L365" i="3"/>
  <c r="M364" i="3"/>
  <c r="L364" i="3"/>
  <c r="M363" i="3"/>
  <c r="L363" i="3"/>
  <c r="M362" i="3"/>
  <c r="M361" i="3"/>
  <c r="L361" i="3"/>
  <c r="M360" i="3"/>
  <c r="L360" i="3"/>
  <c r="M359" i="3"/>
  <c r="M358" i="3"/>
  <c r="M357" i="3"/>
  <c r="L357" i="3"/>
  <c r="M356" i="3"/>
  <c r="L356" i="3"/>
  <c r="M355" i="3"/>
  <c r="M354" i="3"/>
  <c r="M353" i="3"/>
  <c r="L353" i="3"/>
  <c r="M352" i="3"/>
  <c r="L352" i="3"/>
  <c r="M351" i="3"/>
  <c r="L351" i="3"/>
  <c r="M350" i="3"/>
  <c r="L350" i="3"/>
  <c r="M349" i="3"/>
  <c r="L349" i="3"/>
  <c r="M348" i="3"/>
  <c r="L348" i="3"/>
  <c r="M347" i="3"/>
  <c r="L347" i="3"/>
  <c r="M346" i="3"/>
  <c r="M345" i="3"/>
  <c r="L345" i="3"/>
  <c r="M344" i="3"/>
  <c r="L344" i="3"/>
  <c r="M343" i="3"/>
  <c r="L343" i="3"/>
  <c r="M342" i="3"/>
  <c r="L342" i="3"/>
  <c r="M341" i="3"/>
  <c r="L341" i="3"/>
  <c r="M340" i="3"/>
  <c r="L340" i="3"/>
  <c r="M339" i="3"/>
  <c r="L339" i="3"/>
  <c r="M338" i="3"/>
  <c r="M337" i="3"/>
  <c r="L337" i="3"/>
  <c r="M336" i="3"/>
  <c r="L336" i="3"/>
  <c r="M335" i="3"/>
  <c r="L335" i="3"/>
  <c r="M334" i="3"/>
  <c r="L334" i="3"/>
  <c r="M333" i="3"/>
  <c r="L333" i="3"/>
  <c r="M332" i="3"/>
  <c r="L332" i="3"/>
  <c r="M331" i="3"/>
  <c r="L331" i="3"/>
  <c r="M330" i="3"/>
  <c r="M329" i="3"/>
  <c r="L329" i="3"/>
  <c r="M328" i="3"/>
  <c r="L328" i="3"/>
  <c r="M327" i="3"/>
  <c r="L327" i="3"/>
  <c r="M326" i="3"/>
  <c r="L326" i="3"/>
  <c r="M325" i="3"/>
  <c r="L325" i="3"/>
  <c r="M324" i="3"/>
  <c r="L324" i="3"/>
  <c r="M146" i="3"/>
  <c r="L146" i="3"/>
  <c r="M142" i="3"/>
  <c r="L142" i="3"/>
  <c r="M143" i="3"/>
  <c r="L143" i="3"/>
  <c r="M138" i="3"/>
  <c r="M131" i="3"/>
  <c r="L131" i="3"/>
  <c r="M130" i="3"/>
  <c r="L130" i="3"/>
  <c r="M129" i="3"/>
  <c r="L129" i="3"/>
  <c r="M124" i="3"/>
  <c r="M121" i="3"/>
  <c r="L121" i="3"/>
  <c r="L98" i="3"/>
  <c r="M97" i="3"/>
  <c r="M79" i="3"/>
  <c r="G80" i="3"/>
  <c r="M71" i="3"/>
  <c r="G72" i="3"/>
  <c r="M61" i="3"/>
  <c r="G62" i="3"/>
  <c r="G53" i="3"/>
  <c r="M321" i="3"/>
  <c r="M320" i="3"/>
  <c r="L319" i="3"/>
  <c r="M318" i="3"/>
  <c r="M317" i="3"/>
  <c r="M316" i="3"/>
  <c r="L316" i="3"/>
  <c r="M315" i="3"/>
  <c r="M314" i="3"/>
  <c r="L313" i="3"/>
  <c r="M312" i="3"/>
  <c r="M311" i="3"/>
  <c r="M309" i="3"/>
  <c r="L308" i="3"/>
  <c r="M307" i="3"/>
  <c r="L307" i="3"/>
  <c r="M306" i="3"/>
  <c r="M300" i="3"/>
  <c r="L305" i="3"/>
  <c r="M304" i="3"/>
  <c r="L304" i="3"/>
  <c r="M303" i="3"/>
  <c r="L303" i="3"/>
  <c r="M302" i="3"/>
  <c r="L301" i="3"/>
  <c r="M299" i="3"/>
  <c r="M298" i="3"/>
  <c r="M297" i="3"/>
  <c r="L292" i="3"/>
  <c r="M291" i="3"/>
  <c r="L291" i="3"/>
  <c r="M290" i="3"/>
  <c r="L290" i="3"/>
  <c r="M289" i="3"/>
  <c r="L287" i="3"/>
  <c r="M286" i="3"/>
  <c r="L286" i="3"/>
  <c r="M285" i="3"/>
  <c r="M284" i="3"/>
  <c r="L283" i="3"/>
  <c r="M282" i="3"/>
  <c r="M281" i="3"/>
  <c r="L281" i="3"/>
  <c r="M280" i="3"/>
  <c r="L280" i="3"/>
  <c r="L279" i="3"/>
  <c r="M278" i="3"/>
  <c r="L278" i="3"/>
  <c r="M277" i="3"/>
  <c r="L277" i="3"/>
  <c r="M276" i="3"/>
  <c r="M275" i="3"/>
  <c r="M274" i="3"/>
  <c r="L274" i="3"/>
  <c r="M273" i="3"/>
  <c r="M272" i="3"/>
  <c r="M271" i="3"/>
  <c r="M270" i="3"/>
  <c r="L270" i="3"/>
  <c r="M269" i="3"/>
  <c r="L269" i="3"/>
  <c r="M268" i="3"/>
  <c r="L268" i="3"/>
  <c r="M267" i="3"/>
  <c r="L267" i="3"/>
  <c r="M266" i="3"/>
  <c r="L266" i="3"/>
  <c r="M265" i="3"/>
  <c r="M264" i="3"/>
  <c r="M263" i="3"/>
  <c r="L263" i="3"/>
  <c r="M262" i="3"/>
  <c r="M261" i="3"/>
  <c r="M260" i="3"/>
  <c r="M259" i="3"/>
  <c r="L259" i="3"/>
  <c r="M258" i="3"/>
  <c r="L258" i="3"/>
  <c r="M257" i="3"/>
  <c r="L257" i="3"/>
  <c r="M256" i="3"/>
  <c r="L256" i="3"/>
  <c r="M255" i="3"/>
  <c r="L255" i="3"/>
  <c r="M253" i="3"/>
  <c r="L253" i="3"/>
  <c r="M251" i="3"/>
  <c r="M250" i="3"/>
  <c r="L250" i="3"/>
  <c r="M248" i="3"/>
  <c r="L248" i="3"/>
  <c r="M247" i="3"/>
  <c r="M246" i="3"/>
  <c r="L246" i="3"/>
  <c r="M245" i="3"/>
  <c r="M244" i="3"/>
  <c r="L244" i="3"/>
  <c r="M243" i="3"/>
  <c r="L243" i="3"/>
  <c r="M242" i="3"/>
  <c r="M241" i="3"/>
  <c r="L240" i="3"/>
  <c r="M239" i="3"/>
  <c r="M238" i="3"/>
  <c r="M237" i="3"/>
  <c r="L236" i="3"/>
  <c r="M235" i="3"/>
  <c r="L235" i="3"/>
  <c r="M234" i="3"/>
  <c r="L234" i="3"/>
  <c r="M233" i="3"/>
  <c r="L233" i="3"/>
  <c r="M232" i="3"/>
  <c r="M231" i="3"/>
  <c r="L230" i="3"/>
  <c r="M229" i="3"/>
  <c r="L229" i="3"/>
  <c r="M228" i="3"/>
  <c r="L228" i="3"/>
  <c r="M227" i="3"/>
  <c r="L226" i="3"/>
  <c r="M225" i="3"/>
  <c r="L225" i="3"/>
  <c r="M224" i="3"/>
  <c r="L224" i="3"/>
  <c r="M223" i="3"/>
  <c r="M222" i="3"/>
  <c r="M221" i="3"/>
  <c r="M220" i="3"/>
  <c r="M219" i="3"/>
  <c r="L218" i="3"/>
  <c r="M217" i="3"/>
  <c r="L217" i="3"/>
  <c r="M216" i="3"/>
  <c r="L216" i="3"/>
  <c r="M215" i="3"/>
  <c r="L214" i="3"/>
  <c r="M209" i="3"/>
  <c r="L209" i="3"/>
  <c r="M208" i="3"/>
  <c r="L207" i="3"/>
  <c r="M206" i="3"/>
  <c r="L206" i="3"/>
  <c r="M205" i="3"/>
  <c r="L205" i="3"/>
  <c r="M204" i="3"/>
  <c r="M203" i="3"/>
  <c r="L203" i="3"/>
  <c r="M202" i="3"/>
  <c r="M201" i="3"/>
  <c r="M200" i="3"/>
  <c r="M199" i="3"/>
  <c r="L199" i="3"/>
  <c r="M197" i="3"/>
  <c r="L197" i="3"/>
  <c r="M195" i="3"/>
  <c r="M194" i="3"/>
  <c r="M193" i="3"/>
  <c r="L193" i="3"/>
  <c r="M192" i="3"/>
  <c r="L192" i="3"/>
  <c r="M191" i="3"/>
  <c r="L191" i="3"/>
  <c r="M190" i="3"/>
  <c r="M189" i="3"/>
  <c r="L189" i="3"/>
  <c r="M187" i="3"/>
  <c r="L187" i="3"/>
  <c r="M184" i="3"/>
  <c r="M182" i="3"/>
  <c r="L182" i="3"/>
  <c r="M181" i="3"/>
  <c r="M179" i="3"/>
  <c r="M178" i="3"/>
  <c r="L178" i="3"/>
  <c r="M176" i="3"/>
  <c r="M175" i="3"/>
  <c r="M174" i="3"/>
  <c r="M173" i="3"/>
  <c r="L173" i="3"/>
  <c r="M170" i="3"/>
  <c r="L170" i="3"/>
  <c r="M168" i="3"/>
  <c r="L168" i="3"/>
  <c r="M167" i="3"/>
  <c r="M164" i="3"/>
  <c r="L164" i="3"/>
  <c r="M161" i="3"/>
  <c r="L161" i="3"/>
  <c r="M159" i="3"/>
  <c r="G157" i="3"/>
  <c r="M156" i="3"/>
  <c r="M153" i="3"/>
  <c r="M151" i="3"/>
  <c r="M150" i="3"/>
  <c r="L150" i="3"/>
  <c r="M149" i="3"/>
  <c r="L149" i="3"/>
  <c r="M145" i="3"/>
  <c r="L145" i="3"/>
  <c r="M144" i="3"/>
  <c r="M141" i="3"/>
  <c r="L141" i="3"/>
  <c r="M140" i="3"/>
  <c r="L140" i="3"/>
  <c r="M135" i="3"/>
  <c r="M134" i="3"/>
  <c r="M133" i="3"/>
  <c r="L133" i="3"/>
  <c r="M128" i="3"/>
  <c r="L128" i="3"/>
  <c r="M127" i="3"/>
  <c r="M122" i="3"/>
  <c r="M120" i="3"/>
  <c r="L120" i="3"/>
  <c r="M119" i="3"/>
  <c r="L119" i="3"/>
  <c r="M115" i="3"/>
  <c r="M114" i="3"/>
  <c r="M112" i="3"/>
  <c r="L112" i="3"/>
  <c r="M111" i="3"/>
  <c r="M110" i="3"/>
  <c r="L110" i="3"/>
  <c r="M108" i="3"/>
  <c r="M107" i="3"/>
  <c r="L107" i="3"/>
  <c r="M105" i="3"/>
  <c r="L105" i="3"/>
  <c r="M104" i="3"/>
  <c r="L104" i="3"/>
  <c r="M103" i="3"/>
  <c r="L103" i="3"/>
  <c r="M100" i="3"/>
  <c r="L96" i="3"/>
  <c r="M95" i="3"/>
  <c r="M92" i="3"/>
  <c r="M91" i="3"/>
  <c r="L90" i="3"/>
  <c r="M89" i="3"/>
  <c r="L89" i="3"/>
  <c r="M88" i="3"/>
  <c r="L88" i="3"/>
  <c r="M85" i="3"/>
  <c r="L83" i="3"/>
  <c r="M82" i="3"/>
  <c r="L82" i="3"/>
  <c r="M81" i="3"/>
  <c r="L81" i="3"/>
  <c r="M78" i="3"/>
  <c r="L78" i="3"/>
  <c r="M77" i="3"/>
  <c r="L76" i="3"/>
  <c r="M75" i="3"/>
  <c r="L75" i="3"/>
  <c r="M74" i="3"/>
  <c r="L74" i="3"/>
  <c r="M70" i="3"/>
  <c r="L69" i="3"/>
  <c r="M68" i="3"/>
  <c r="M67" i="3"/>
  <c r="M66" i="3"/>
  <c r="L65" i="3"/>
  <c r="M64" i="3"/>
  <c r="L64" i="3"/>
  <c r="M60" i="3"/>
  <c r="L60" i="3"/>
  <c r="M59" i="3"/>
  <c r="L58" i="3"/>
  <c r="M57" i="3"/>
  <c r="L57" i="3"/>
  <c r="M56" i="3"/>
  <c r="L56" i="3"/>
  <c r="M52" i="3"/>
  <c r="M51" i="3"/>
  <c r="L51" i="3"/>
  <c r="M50" i="3"/>
  <c r="M49" i="3"/>
  <c r="L49" i="3"/>
  <c r="M48" i="3"/>
  <c r="L47" i="3"/>
  <c r="L46" i="3"/>
  <c r="M45" i="3"/>
  <c r="L45" i="3"/>
  <c r="M44" i="3"/>
  <c r="M43" i="3"/>
  <c r="L43" i="3"/>
  <c r="M42" i="3"/>
  <c r="M41" i="3"/>
  <c r="M40" i="3"/>
  <c r="L39" i="3"/>
  <c r="M38" i="3"/>
  <c r="L38" i="3"/>
  <c r="M36" i="3"/>
  <c r="L36" i="3"/>
  <c r="L34" i="3"/>
  <c r="M32" i="3"/>
  <c r="M31" i="3"/>
  <c r="M30" i="3"/>
  <c r="L30" i="3"/>
  <c r="M29" i="3"/>
  <c r="M28" i="3"/>
  <c r="L25" i="3"/>
  <c r="M25" i="3"/>
  <c r="M23" i="3"/>
  <c r="L23" i="3"/>
  <c r="L26" i="3"/>
  <c r="M26" i="3"/>
  <c r="M24" i="3"/>
  <c r="L24" i="3"/>
  <c r="M27" i="3"/>
  <c r="E30" i="6"/>
  <c r="M80" i="3" l="1"/>
  <c r="M72" i="3"/>
  <c r="K436" i="3"/>
  <c r="K220" i="3"/>
  <c r="K222" i="3"/>
  <c r="K201" i="3"/>
  <c r="K276" i="3"/>
  <c r="K282" i="3"/>
  <c r="K98" i="3"/>
  <c r="K285" i="3"/>
  <c r="K412" i="3"/>
  <c r="K111" i="3"/>
  <c r="K156" i="3"/>
  <c r="K247" i="3"/>
  <c r="K306" i="3"/>
  <c r="K366" i="3"/>
  <c r="K42" i="3"/>
  <c r="K371" i="3"/>
  <c r="K375" i="3"/>
  <c r="K388" i="3"/>
  <c r="K28" i="3"/>
  <c r="K59" i="3"/>
  <c r="K127" i="3"/>
  <c r="K135" i="3"/>
  <c r="K67" i="3"/>
  <c r="K85" i="3"/>
  <c r="K90" i="3"/>
  <c r="K119" i="3"/>
  <c r="K202" i="3"/>
  <c r="K221" i="3"/>
  <c r="K223" i="3"/>
  <c r="K230" i="3"/>
  <c r="K242" i="3"/>
  <c r="K262" i="3"/>
  <c r="K72" i="3"/>
  <c r="K346" i="3"/>
  <c r="K419" i="3"/>
  <c r="K413" i="3"/>
  <c r="K239" i="3"/>
  <c r="K241" i="3"/>
  <c r="K338" i="3"/>
  <c r="N450" i="3"/>
  <c r="L157" i="3"/>
  <c r="K227" i="3"/>
  <c r="M53" i="3"/>
  <c r="K358" i="3"/>
  <c r="K29" i="3"/>
  <c r="K50" i="3"/>
  <c r="K27" i="3"/>
  <c r="K34" i="3"/>
  <c r="K39" i="3"/>
  <c r="K48" i="3"/>
  <c r="K68" i="3"/>
  <c r="K78" i="3"/>
  <c r="K95" i="3"/>
  <c r="K100" i="3"/>
  <c r="K181" i="3"/>
  <c r="K232" i="3"/>
  <c r="K245" i="3"/>
  <c r="K251" i="3"/>
  <c r="K265" i="3"/>
  <c r="K266" i="3"/>
  <c r="K272" i="3"/>
  <c r="K298" i="3"/>
  <c r="K311" i="3"/>
  <c r="K130" i="3"/>
  <c r="K138" i="3"/>
  <c r="K363" i="3"/>
  <c r="K392" i="3"/>
  <c r="K404" i="3"/>
  <c r="N420" i="3"/>
  <c r="K65" i="3"/>
  <c r="K209" i="3"/>
  <c r="K257" i="3"/>
  <c r="L276" i="3"/>
  <c r="L306" i="3"/>
  <c r="L375" i="3"/>
  <c r="K31" i="3"/>
  <c r="K92" i="3"/>
  <c r="K176" i="3"/>
  <c r="N186" i="3"/>
  <c r="K189" i="3"/>
  <c r="K195" i="3"/>
  <c r="K206" i="3"/>
  <c r="K215" i="3"/>
  <c r="K218" i="3"/>
  <c r="K236" i="3"/>
  <c r="K273" i="3"/>
  <c r="K299" i="3"/>
  <c r="K318" i="3"/>
  <c r="K320" i="3"/>
  <c r="K330" i="3"/>
  <c r="K359" i="3"/>
  <c r="N383" i="3"/>
  <c r="K387" i="3"/>
  <c r="K36" i="3"/>
  <c r="K75" i="3"/>
  <c r="K81" i="3"/>
  <c r="K159" i="3"/>
  <c r="N246" i="3"/>
  <c r="K267" i="3"/>
  <c r="K269" i="3"/>
  <c r="K380" i="3"/>
  <c r="K381" i="3"/>
  <c r="K384" i="3"/>
  <c r="K396" i="3"/>
  <c r="K397" i="3"/>
  <c r="K408" i="3"/>
  <c r="K409" i="3"/>
  <c r="K449" i="3"/>
  <c r="K123" i="3"/>
  <c r="K41" i="3"/>
  <c r="K44" i="3"/>
  <c r="K56" i="3"/>
  <c r="K70" i="3"/>
  <c r="N224" i="3"/>
  <c r="K225" i="3"/>
  <c r="K46" i="3"/>
  <c r="L50" i="3"/>
  <c r="K82" i="3"/>
  <c r="K104" i="3"/>
  <c r="L127" i="3"/>
  <c r="K128" i="3"/>
  <c r="L251" i="3"/>
  <c r="K277" i="3"/>
  <c r="L282" i="3"/>
  <c r="K307" i="3"/>
  <c r="K312" i="3"/>
  <c r="K321" i="3"/>
  <c r="K53" i="3"/>
  <c r="K62" i="3"/>
  <c r="K326" i="3"/>
  <c r="L330" i="3"/>
  <c r="K334" i="3"/>
  <c r="L338" i="3"/>
  <c r="K342" i="3"/>
  <c r="L346" i="3"/>
  <c r="K350" i="3"/>
  <c r="K355" i="3"/>
  <c r="L359" i="3"/>
  <c r="K374" i="3"/>
  <c r="N381" i="3"/>
  <c r="N382" i="3"/>
  <c r="K400" i="3"/>
  <c r="K420" i="3"/>
  <c r="K434" i="3"/>
  <c r="K38" i="3"/>
  <c r="K57" i="3"/>
  <c r="K76" i="3"/>
  <c r="L111" i="3"/>
  <c r="K133" i="3"/>
  <c r="K187" i="3"/>
  <c r="K224" i="3"/>
  <c r="K238" i="3"/>
  <c r="L247" i="3"/>
  <c r="N247" i="3" s="1"/>
  <c r="N250" i="3"/>
  <c r="L265" i="3"/>
  <c r="N281" i="3"/>
  <c r="L285" i="3"/>
  <c r="K286" i="3"/>
  <c r="K304" i="3"/>
  <c r="L318" i="3"/>
  <c r="N318" i="3" s="1"/>
  <c r="L388" i="3"/>
  <c r="N388" i="3" s="1"/>
  <c r="N418" i="3"/>
  <c r="K432" i="3"/>
  <c r="K25" i="3"/>
  <c r="L29" i="3"/>
  <c r="N29" i="3" s="1"/>
  <c r="K32" i="3"/>
  <c r="L42" i="3"/>
  <c r="K45" i="3"/>
  <c r="M46" i="3"/>
  <c r="K52" i="3"/>
  <c r="K58" i="3"/>
  <c r="K60" i="3"/>
  <c r="L68" i="3"/>
  <c r="K77" i="3"/>
  <c r="K83" i="3"/>
  <c r="K88" i="3"/>
  <c r="L95" i="3"/>
  <c r="K105" i="3"/>
  <c r="K112" i="3"/>
  <c r="K115" i="3"/>
  <c r="K145" i="3"/>
  <c r="L156" i="3"/>
  <c r="M157" i="3"/>
  <c r="N163" i="3"/>
  <c r="N162" i="3" s="1"/>
  <c r="K168" i="3"/>
  <c r="L176" i="3"/>
  <c r="K184" i="3"/>
  <c r="K191" i="3"/>
  <c r="L202" i="3"/>
  <c r="N202" i="3" s="1"/>
  <c r="K216" i="3"/>
  <c r="L221" i="3"/>
  <c r="N221" i="3" s="1"/>
  <c r="K226" i="3"/>
  <c r="K228" i="3"/>
  <c r="K234" i="3"/>
  <c r="L239" i="3"/>
  <c r="K248" i="3"/>
  <c r="K260" i="3"/>
  <c r="L262" i="3"/>
  <c r="K264" i="3"/>
  <c r="L273" i="3"/>
  <c r="N273" i="3" s="1"/>
  <c r="K290" i="3"/>
  <c r="L299" i="3"/>
  <c r="N299" i="3" s="1"/>
  <c r="L312" i="3"/>
  <c r="K71" i="3"/>
  <c r="K80" i="3"/>
  <c r="L355" i="3"/>
  <c r="K362" i="3"/>
  <c r="N369" i="3"/>
  <c r="L371" i="3"/>
  <c r="K378" i="3"/>
  <c r="M392" i="3"/>
  <c r="N392" i="3" s="1"/>
  <c r="L396" i="3"/>
  <c r="N396" i="3" s="1"/>
  <c r="K401" i="3"/>
  <c r="L434" i="3"/>
  <c r="K435" i="3"/>
  <c r="K442" i="3"/>
  <c r="K93" i="3"/>
  <c r="N35" i="3"/>
  <c r="L28" i="3"/>
  <c r="N28" i="3" s="1"/>
  <c r="L41" i="3"/>
  <c r="L67" i="3"/>
  <c r="L92" i="3"/>
  <c r="N169" i="3"/>
  <c r="L181" i="3"/>
  <c r="L201" i="3"/>
  <c r="N201" i="3" s="1"/>
  <c r="L220" i="3"/>
  <c r="N220" i="3" s="1"/>
  <c r="L232" i="3"/>
  <c r="N232" i="3" s="1"/>
  <c r="L238" i="3"/>
  <c r="N238" i="3" s="1"/>
  <c r="N243" i="3"/>
  <c r="L272" i="3"/>
  <c r="N272" i="3" s="1"/>
  <c r="L298" i="3"/>
  <c r="L311" i="3"/>
  <c r="N311" i="3" s="1"/>
  <c r="K316" i="3"/>
  <c r="M98" i="3"/>
  <c r="N365" i="3"/>
  <c r="M384" i="3"/>
  <c r="N399" i="3"/>
  <c r="M412" i="3"/>
  <c r="M413" i="3"/>
  <c r="K426" i="3"/>
  <c r="K430" i="3"/>
  <c r="M123" i="3"/>
  <c r="N123" i="3" s="1"/>
  <c r="K24" i="3"/>
  <c r="L32" i="3"/>
  <c r="K40" i="3"/>
  <c r="K47" i="3"/>
  <c r="K49" i="3"/>
  <c r="K64" i="3"/>
  <c r="K66" i="3"/>
  <c r="K69" i="3"/>
  <c r="K74" i="3"/>
  <c r="K89" i="3"/>
  <c r="K91" i="3"/>
  <c r="K96" i="3"/>
  <c r="K103" i="3"/>
  <c r="K110" i="3"/>
  <c r="K140" i="3"/>
  <c r="K149" i="3"/>
  <c r="K150" i="3"/>
  <c r="K153" i="3"/>
  <c r="K157" i="3"/>
  <c r="K161" i="3"/>
  <c r="K170" i="3"/>
  <c r="K173" i="3"/>
  <c r="K175" i="3"/>
  <c r="K192" i="3"/>
  <c r="K197" i="3"/>
  <c r="K199" i="3"/>
  <c r="K205" i="3"/>
  <c r="N216" i="3"/>
  <c r="K217" i="3"/>
  <c r="K219" i="3"/>
  <c r="N228" i="3"/>
  <c r="K229" i="3"/>
  <c r="K231" i="3"/>
  <c r="N234" i="3"/>
  <c r="K235" i="3"/>
  <c r="K237" i="3"/>
  <c r="K240" i="3"/>
  <c r="K243" i="3"/>
  <c r="K246" i="3"/>
  <c r="K261" i="3"/>
  <c r="K278" i="3"/>
  <c r="K281" i="3"/>
  <c r="K291" i="3"/>
  <c r="K303" i="3"/>
  <c r="K315" i="3"/>
  <c r="L53" i="3"/>
  <c r="K79" i="3"/>
  <c r="K324" i="3"/>
  <c r="K328" i="3"/>
  <c r="K332" i="3"/>
  <c r="K336" i="3"/>
  <c r="K340" i="3"/>
  <c r="K344" i="3"/>
  <c r="K348" i="3"/>
  <c r="K352" i="3"/>
  <c r="K354" i="3"/>
  <c r="K367" i="3"/>
  <c r="K370" i="3"/>
  <c r="N377" i="3"/>
  <c r="K393" i="3"/>
  <c r="K416" i="3"/>
  <c r="N446" i="3"/>
  <c r="L222" i="3"/>
  <c r="N222" i="3" s="1"/>
  <c r="N400" i="3"/>
  <c r="N368" i="3"/>
  <c r="N324" i="3"/>
  <c r="N328" i="3"/>
  <c r="N332" i="3"/>
  <c r="N340" i="3"/>
  <c r="N349" i="3"/>
  <c r="N421" i="3"/>
  <c r="N444" i="3"/>
  <c r="N342" i="3"/>
  <c r="N423" i="3"/>
  <c r="K325" i="3"/>
  <c r="K327" i="3"/>
  <c r="K329" i="3"/>
  <c r="K331" i="3"/>
  <c r="K333" i="3"/>
  <c r="K335" i="3"/>
  <c r="K337" i="3"/>
  <c r="K339" i="3"/>
  <c r="K341" i="3"/>
  <c r="K343" i="3"/>
  <c r="K345" i="3"/>
  <c r="K347" i="3"/>
  <c r="K349" i="3"/>
  <c r="K351" i="3"/>
  <c r="K353" i="3"/>
  <c r="K357" i="3"/>
  <c r="K361" i="3"/>
  <c r="K365" i="3"/>
  <c r="K369" i="3"/>
  <c r="K373" i="3"/>
  <c r="K377" i="3"/>
  <c r="K382" i="3"/>
  <c r="K386" i="3"/>
  <c r="K390" i="3"/>
  <c r="M393" i="3"/>
  <c r="K394" i="3"/>
  <c r="M397" i="3"/>
  <c r="N397" i="3" s="1"/>
  <c r="K398" i="3"/>
  <c r="M401" i="3"/>
  <c r="K402" i="3"/>
  <c r="K410" i="3"/>
  <c r="K414" i="3"/>
  <c r="K418" i="3"/>
  <c r="K423" i="3"/>
  <c r="K427" i="3"/>
  <c r="L354" i="3"/>
  <c r="K356" i="3"/>
  <c r="L358" i="3"/>
  <c r="N358" i="3" s="1"/>
  <c r="K360" i="3"/>
  <c r="L362" i="3"/>
  <c r="N362" i="3" s="1"/>
  <c r="K364" i="3"/>
  <c r="L366" i="3"/>
  <c r="K368" i="3"/>
  <c r="L370" i="3"/>
  <c r="K372" i="3"/>
  <c r="L374" i="3"/>
  <c r="K376" i="3"/>
  <c r="L378" i="3"/>
  <c r="K383" i="3"/>
  <c r="L387" i="3"/>
  <c r="K389" i="3"/>
  <c r="K395" i="3"/>
  <c r="K399" i="3"/>
  <c r="K403" i="3"/>
  <c r="K407" i="3"/>
  <c r="K411" i="3"/>
  <c r="K415" i="3"/>
  <c r="L419" i="3"/>
  <c r="N419" i="3" s="1"/>
  <c r="K421" i="3"/>
  <c r="K424" i="3"/>
  <c r="K428" i="3"/>
  <c r="L432" i="3"/>
  <c r="M449" i="3"/>
  <c r="L449" i="3"/>
  <c r="K425" i="3"/>
  <c r="K429" i="3"/>
  <c r="K433" i="3"/>
  <c r="K441" i="3"/>
  <c r="K447" i="3"/>
  <c r="K439" i="3"/>
  <c r="K445" i="3"/>
  <c r="K30" i="3"/>
  <c r="K43" i="3"/>
  <c r="K51" i="3"/>
  <c r="L27" i="3"/>
  <c r="N27" i="3" s="1"/>
  <c r="L31" i="3"/>
  <c r="M34" i="3"/>
  <c r="N34" i="3" s="1"/>
  <c r="N33" i="3" s="1"/>
  <c r="M39" i="3"/>
  <c r="L40" i="3"/>
  <c r="L44" i="3"/>
  <c r="M47" i="3"/>
  <c r="L48" i="3"/>
  <c r="L52" i="3"/>
  <c r="M58" i="3"/>
  <c r="L59" i="3"/>
  <c r="M65" i="3"/>
  <c r="L66" i="3"/>
  <c r="M69" i="3"/>
  <c r="L70" i="3"/>
  <c r="M76" i="3"/>
  <c r="L77" i="3"/>
  <c r="M83" i="3"/>
  <c r="L85" i="3"/>
  <c r="N84" i="3" s="1"/>
  <c r="M90" i="3"/>
  <c r="L91" i="3"/>
  <c r="M96" i="3"/>
  <c r="L100" i="3"/>
  <c r="N99" i="3" s="1"/>
  <c r="K108" i="3"/>
  <c r="L108" i="3"/>
  <c r="K122" i="3"/>
  <c r="L122" i="3"/>
  <c r="N140" i="3"/>
  <c r="K144" i="3"/>
  <c r="L144" i="3"/>
  <c r="N160" i="3"/>
  <c r="K167" i="3"/>
  <c r="L167" i="3"/>
  <c r="K179" i="3"/>
  <c r="L179" i="3"/>
  <c r="L184" i="3"/>
  <c r="N183" i="3" s="1"/>
  <c r="N193" i="3"/>
  <c r="L195" i="3"/>
  <c r="K208" i="3"/>
  <c r="L208" i="3"/>
  <c r="K214" i="3"/>
  <c r="M214" i="3"/>
  <c r="N214" i="3" s="1"/>
  <c r="K190" i="3"/>
  <c r="L190" i="3"/>
  <c r="N190" i="3" s="1"/>
  <c r="K200" i="3"/>
  <c r="L200" i="3"/>
  <c r="K114" i="3"/>
  <c r="L114" i="3"/>
  <c r="K134" i="3"/>
  <c r="L134" i="3"/>
  <c r="K151" i="3"/>
  <c r="L151" i="3"/>
  <c r="K174" i="3"/>
  <c r="L174" i="3"/>
  <c r="K193" i="3"/>
  <c r="K203" i="3"/>
  <c r="K107" i="3"/>
  <c r="L115" i="3"/>
  <c r="K120" i="3"/>
  <c r="L135" i="3"/>
  <c r="K141" i="3"/>
  <c r="L153" i="3"/>
  <c r="N152" i="3" s="1"/>
  <c r="L159" i="3"/>
  <c r="N158" i="3" s="1"/>
  <c r="K164" i="3"/>
  <c r="L175" i="3"/>
  <c r="K178" i="3"/>
  <c r="N192" i="3"/>
  <c r="K194" i="3"/>
  <c r="L194" i="3"/>
  <c r="K204" i="3"/>
  <c r="L204" i="3"/>
  <c r="N204" i="3" s="1"/>
  <c r="K207" i="3"/>
  <c r="M207" i="3"/>
  <c r="L215" i="3"/>
  <c r="N215" i="3" s="1"/>
  <c r="M218" i="3"/>
  <c r="L219" i="3"/>
  <c r="L223" i="3"/>
  <c r="M226" i="3"/>
  <c r="N226" i="3" s="1"/>
  <c r="L227" i="3"/>
  <c r="N227" i="3" s="1"/>
  <c r="M230" i="3"/>
  <c r="N230" i="3" s="1"/>
  <c r="L231" i="3"/>
  <c r="N231" i="3" s="1"/>
  <c r="M236" i="3"/>
  <c r="N236" i="3" s="1"/>
  <c r="L237" i="3"/>
  <c r="M240" i="3"/>
  <c r="L242" i="3"/>
  <c r="K244" i="3"/>
  <c r="L245" i="3"/>
  <c r="N255" i="3"/>
  <c r="K256" i="3"/>
  <c r="N258" i="3"/>
  <c r="L261" i="3"/>
  <c r="K263" i="3"/>
  <c r="L264" i="3"/>
  <c r="L271" i="3"/>
  <c r="K271" i="3"/>
  <c r="L275" i="3"/>
  <c r="K275" i="3"/>
  <c r="L284" i="3"/>
  <c r="K284" i="3"/>
  <c r="M287" i="3"/>
  <c r="N287" i="3" s="1"/>
  <c r="K287" i="3"/>
  <c r="L300" i="3"/>
  <c r="N300" i="3" s="1"/>
  <c r="K300" i="3"/>
  <c r="M319" i="3"/>
  <c r="K319" i="3"/>
  <c r="M279" i="3"/>
  <c r="K279" i="3"/>
  <c r="L289" i="3"/>
  <c r="N289" i="3" s="1"/>
  <c r="K289" i="3"/>
  <c r="M292" i="3"/>
  <c r="N292" i="3" s="1"/>
  <c r="K292" i="3"/>
  <c r="M308" i="3"/>
  <c r="K308" i="3"/>
  <c r="K61" i="3"/>
  <c r="L61" i="3"/>
  <c r="N225" i="3"/>
  <c r="N244" i="3"/>
  <c r="K253" i="3"/>
  <c r="K255" i="3"/>
  <c r="K270" i="3"/>
  <c r="K274" i="3"/>
  <c r="L297" i="3"/>
  <c r="K297" i="3"/>
  <c r="M301" i="3"/>
  <c r="N301" i="3" s="1"/>
  <c r="K301" i="3"/>
  <c r="L309" i="3"/>
  <c r="K309" i="3"/>
  <c r="M313" i="3"/>
  <c r="K313" i="3"/>
  <c r="L241" i="3"/>
  <c r="N241" i="3" s="1"/>
  <c r="K250" i="3"/>
  <c r="N253" i="3"/>
  <c r="K258" i="3"/>
  <c r="K259" i="3"/>
  <c r="L260" i="3"/>
  <c r="K268" i="3"/>
  <c r="M283" i="3"/>
  <c r="K283" i="3"/>
  <c r="L302" i="3"/>
  <c r="N302" i="3" s="1"/>
  <c r="K302" i="3"/>
  <c r="M305" i="3"/>
  <c r="N305" i="3" s="1"/>
  <c r="K305" i="3"/>
  <c r="L314" i="3"/>
  <c r="N314" i="3" s="1"/>
  <c r="K314" i="3"/>
  <c r="N274" i="3"/>
  <c r="K280" i="3"/>
  <c r="K124" i="3"/>
  <c r="L124" i="3"/>
  <c r="L315" i="3"/>
  <c r="N315" i="3" s="1"/>
  <c r="K317" i="3"/>
  <c r="M62" i="3"/>
  <c r="K97" i="3"/>
  <c r="K129" i="3"/>
  <c r="L138" i="3"/>
  <c r="N137" i="3" s="1"/>
  <c r="K142" i="3"/>
  <c r="K146" i="3"/>
  <c r="K121" i="3"/>
  <c r="K131" i="3"/>
  <c r="K143" i="3"/>
  <c r="L97" i="3"/>
  <c r="L79" i="3"/>
  <c r="L80" i="3"/>
  <c r="L71" i="3"/>
  <c r="L72" i="3"/>
  <c r="L62" i="3"/>
  <c r="L321" i="3"/>
  <c r="N321" i="3" s="1"/>
  <c r="L320" i="3"/>
  <c r="N320" i="3" s="1"/>
  <c r="L317" i="3"/>
  <c r="N233" i="3"/>
  <c r="K233" i="3"/>
  <c r="K182" i="3"/>
  <c r="K23" i="3"/>
  <c r="K26" i="3"/>
  <c r="F30" i="6"/>
  <c r="N180" i="3" l="1"/>
  <c r="N155" i="3"/>
  <c r="N154" i="3" s="1"/>
  <c r="N166" i="3"/>
  <c r="N165" i="3" s="1"/>
  <c r="N177" i="3"/>
  <c r="N254" i="3"/>
  <c r="N188" i="3"/>
  <c r="N118" i="3"/>
  <c r="N117" i="3" s="1"/>
  <c r="N148" i="3"/>
  <c r="N147" i="3" s="1"/>
  <c r="N102" i="3"/>
  <c r="N55" i="3"/>
  <c r="N109" i="3"/>
  <c r="N431" i="3"/>
  <c r="N417" i="3"/>
  <c r="N385" i="3"/>
  <c r="N406" i="3"/>
  <c r="N106" i="3"/>
  <c r="N448" i="3"/>
  <c r="N443" i="3" s="1"/>
  <c r="N310" i="3"/>
  <c r="N139" i="3"/>
  <c r="N136" i="3" s="1"/>
  <c r="N132" i="3"/>
  <c r="N87" i="3"/>
  <c r="N391" i="3"/>
  <c r="N422" i="3"/>
  <c r="N323" i="3"/>
  <c r="N196" i="3"/>
  <c r="N22" i="3"/>
  <c r="N21" i="3" s="1"/>
  <c r="N126" i="3"/>
  <c r="N172" i="3"/>
  <c r="N63" i="3"/>
  <c r="N73" i="3"/>
  <c r="N37" i="3"/>
  <c r="N293" i="3"/>
  <c r="N212" i="3"/>
  <c r="N113" i="3"/>
  <c r="N94" i="3"/>
  <c r="L12" i="5"/>
  <c r="B12" i="5"/>
  <c r="L11" i="5"/>
  <c r="I11" i="5"/>
  <c r="G11" i="5"/>
  <c r="L9" i="5"/>
  <c r="L8" i="5"/>
  <c r="I8" i="5"/>
  <c r="G8" i="5"/>
  <c r="B8" i="5"/>
  <c r="I9" i="8"/>
  <c r="I12" i="8"/>
  <c r="G11" i="8"/>
  <c r="G8" i="8"/>
  <c r="B12" i="8"/>
  <c r="B11" i="8"/>
  <c r="B8" i="8"/>
  <c r="N171" i="3" l="1"/>
  <c r="N86" i="3"/>
  <c r="N54" i="3"/>
  <c r="N185" i="3"/>
  <c r="N101" i="3"/>
  <c r="N405" i="3"/>
  <c r="N125" i="3"/>
  <c r="N116" i="3" s="1"/>
  <c r="N322" i="3"/>
  <c r="N211" i="3"/>
  <c r="B12" i="6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B72" i="7"/>
  <c r="B71" i="7"/>
  <c r="F50" i="7"/>
  <c r="E50" i="7"/>
  <c r="F42" i="7"/>
  <c r="E42" i="7"/>
  <c r="F29" i="7"/>
  <c r="E29" i="7"/>
  <c r="B53" i="6"/>
  <c r="B52" i="6"/>
  <c r="F36" i="6"/>
  <c r="C20" i="1" s="1"/>
  <c r="E36" i="6"/>
  <c r="O10" i="3"/>
  <c r="M10" i="3"/>
  <c r="K10" i="3"/>
  <c r="O8" i="3"/>
  <c r="M8" i="3"/>
  <c r="K8" i="3"/>
  <c r="B8" i="3"/>
  <c r="B51" i="2"/>
  <c r="B50" i="2"/>
  <c r="F12" i="2"/>
  <c r="F11" i="2"/>
  <c r="B11" i="2"/>
  <c r="B11" i="5" s="1"/>
  <c r="F9" i="2"/>
  <c r="F8" i="2"/>
  <c r="B8" i="2"/>
  <c r="B33" i="1"/>
  <c r="B32" i="1"/>
  <c r="B9" i="1"/>
  <c r="B9" i="9" s="1"/>
  <c r="B9" i="8" l="1"/>
  <c r="B9" i="5"/>
  <c r="C19" i="1"/>
  <c r="D12" i="2"/>
  <c r="D12" i="7"/>
  <c r="E53" i="7"/>
  <c r="B9" i="7"/>
  <c r="B9" i="6"/>
  <c r="F53" i="7"/>
  <c r="D12" i="6"/>
  <c r="B9" i="2"/>
  <c r="B10" i="3"/>
  <c r="E54" i="7"/>
  <c r="F54" i="7"/>
  <c r="B9" i="3"/>
  <c r="C32" i="9" s="1" a="1"/>
  <c r="C32" i="9" s="1"/>
  <c r="C24" i="9" l="1" a="1"/>
  <c r="C24" i="9" s="1"/>
  <c r="E28" i="9" a="1"/>
  <c r="E28" i="9" s="1"/>
  <c r="M28" i="9" s="1"/>
  <c r="E35" i="9" a="1"/>
  <c r="E35" i="9" s="1"/>
  <c r="M35" i="9" s="1"/>
  <c r="N35" i="9" s="1"/>
  <c r="C22" i="9" a="1"/>
  <c r="C22" i="9" s="1"/>
  <c r="C41" i="9" a="1"/>
  <c r="C41" i="9" s="1"/>
  <c r="C31" i="9" a="1"/>
  <c r="C31" i="9" s="1"/>
  <c r="C26" i="9" a="1"/>
  <c r="C26" i="9" s="1"/>
  <c r="C42" i="9" a="1"/>
  <c r="C42" i="9" s="1"/>
  <c r="D9" i="7"/>
  <c r="D9" i="9"/>
  <c r="C29" i="9" a="1"/>
  <c r="C29" i="9" s="1"/>
  <c r="C25" i="9" a="1"/>
  <c r="C25" i="9" s="1"/>
  <c r="E39" i="9" a="1"/>
  <c r="E39" i="9" s="1"/>
  <c r="P39" i="9" s="1"/>
  <c r="E27" i="9" a="1"/>
  <c r="E27" i="9" s="1"/>
  <c r="H27" i="9" s="1"/>
  <c r="C36" i="9" a="1"/>
  <c r="C36" i="9" s="1"/>
  <c r="C23" i="9" a="1"/>
  <c r="C23" i="9" s="1"/>
  <c r="E36" i="9" a="1"/>
  <c r="E36" i="9" s="1"/>
  <c r="L36" i="9" s="1"/>
  <c r="M36" i="9" s="1"/>
  <c r="E37" i="9" a="1"/>
  <c r="E37" i="9" s="1"/>
  <c r="C40" i="9" a="1"/>
  <c r="C40" i="9" s="1"/>
  <c r="C33" i="9" a="1"/>
  <c r="C33" i="9" s="1"/>
  <c r="E26" i="9" a="1"/>
  <c r="E26" i="9" s="1"/>
  <c r="K26" i="9" s="1"/>
  <c r="E33" i="9" a="1"/>
  <c r="E33" i="9" s="1"/>
  <c r="N33" i="9" s="1"/>
  <c r="O33" i="9" s="1"/>
  <c r="P33" i="9" s="1"/>
  <c r="C38" i="9" a="1"/>
  <c r="C38" i="9" s="1"/>
  <c r="E24" i="9" a="1"/>
  <c r="E24" i="9" s="1"/>
  <c r="E34" i="9" a="1"/>
  <c r="E34" i="9" s="1"/>
  <c r="N34" i="9" s="1"/>
  <c r="C34" i="9" a="1"/>
  <c r="C34" i="9" s="1"/>
  <c r="C30" i="9" a="1"/>
  <c r="C30" i="9" s="1"/>
  <c r="E23" i="9" a="1"/>
  <c r="E23" i="9" s="1"/>
  <c r="E41" i="9" a="1"/>
  <c r="E41" i="9" s="1"/>
  <c r="C35" i="9" a="1"/>
  <c r="C35" i="9" s="1"/>
  <c r="E25" i="9" a="1"/>
  <c r="E25" i="9" s="1"/>
  <c r="I25" i="9" s="1"/>
  <c r="J25" i="9" s="1"/>
  <c r="E42" i="9" a="1"/>
  <c r="E42" i="9" s="1"/>
  <c r="R42" i="9" s="1"/>
  <c r="C39" i="9" a="1"/>
  <c r="C39" i="9" s="1"/>
  <c r="E32" i="9" a="1"/>
  <c r="E32" i="9" s="1"/>
  <c r="N32" i="9" s="1"/>
  <c r="E22" i="9" a="1"/>
  <c r="E22" i="9" s="1"/>
  <c r="G22" i="9" s="1"/>
  <c r="H22" i="9" s="1"/>
  <c r="E40" i="9" a="1"/>
  <c r="E40" i="9" s="1"/>
  <c r="Q40" i="9" s="1"/>
  <c r="E29" i="9" a="1"/>
  <c r="E29" i="9" s="1"/>
  <c r="N29" i="9" s="1"/>
  <c r="C37" i="9" a="1"/>
  <c r="C37" i="9" s="1"/>
  <c r="E31" i="9" a="1"/>
  <c r="E31" i="9" s="1"/>
  <c r="N31" i="9" s="1"/>
  <c r="C28" i="9" a="1"/>
  <c r="C28" i="9" s="1"/>
  <c r="C27" i="9" a="1"/>
  <c r="C27" i="9" s="1"/>
  <c r="E30" i="9" a="1"/>
  <c r="E30" i="9" s="1"/>
  <c r="N30" i="9" s="1"/>
  <c r="E38" i="9" a="1"/>
  <c r="E38" i="9" s="1"/>
  <c r="E36" i="2" a="1"/>
  <c r="E36" i="2" s="1"/>
  <c r="E55" i="7"/>
  <c r="E56" i="7" s="1"/>
  <c r="D9" i="6"/>
  <c r="D9" i="2"/>
  <c r="G9" i="5" s="1"/>
  <c r="G12" i="5"/>
  <c r="G12" i="8"/>
  <c r="E35" i="2" a="1"/>
  <c r="E35" i="2" s="1"/>
  <c r="E34" i="2" a="1"/>
  <c r="E34" i="2" s="1"/>
  <c r="F55" i="7"/>
  <c r="F56" i="7" s="1"/>
  <c r="C37" i="2" a="1"/>
  <c r="C37" i="2" s="1"/>
  <c r="C29" i="2" a="1"/>
  <c r="C29" i="2" s="1"/>
  <c r="E27" i="2" a="1"/>
  <c r="E27" i="2" s="1"/>
  <c r="C21" i="2" a="1"/>
  <c r="C21" i="2" s="1"/>
  <c r="E19" i="2" a="1"/>
  <c r="E19" i="2" s="1"/>
  <c r="E26" i="2" a="1"/>
  <c r="E26" i="2" s="1"/>
  <c r="C32" i="2" a="1"/>
  <c r="C32" i="2" s="1"/>
  <c r="E30" i="2" a="1"/>
  <c r="E30" i="2" s="1"/>
  <c r="C24" i="2" a="1"/>
  <c r="C24" i="2" s="1"/>
  <c r="E22" i="2" a="1"/>
  <c r="E22" i="2" s="1"/>
  <c r="C35" i="2" a="1"/>
  <c r="C35" i="2" s="1"/>
  <c r="E33" i="2" a="1"/>
  <c r="E33" i="2" s="1"/>
  <c r="C27" i="2" a="1"/>
  <c r="C27" i="2" s="1"/>
  <c r="E25" i="2" a="1"/>
  <c r="E25" i="2" s="1"/>
  <c r="C19" i="2" a="1"/>
  <c r="C19" i="2" s="1"/>
  <c r="E17" i="2" a="1"/>
  <c r="E17" i="2" s="1"/>
  <c r="C20" i="2" a="1"/>
  <c r="C20" i="2" s="1"/>
  <c r="C30" i="2" a="1"/>
  <c r="C30" i="2" s="1"/>
  <c r="E28" i="2" a="1"/>
  <c r="E28" i="2" s="1"/>
  <c r="C22" i="2" a="1"/>
  <c r="C22" i="2" s="1"/>
  <c r="E20" i="2" a="1"/>
  <c r="E20" i="2" s="1"/>
  <c r="C33" i="2" a="1"/>
  <c r="C33" i="2" s="1"/>
  <c r="E31" i="2" a="1"/>
  <c r="E31" i="2" s="1"/>
  <c r="C25" i="2" a="1"/>
  <c r="C25" i="2" s="1"/>
  <c r="E23" i="2" a="1"/>
  <c r="E23" i="2" s="1"/>
  <c r="C17" i="2" a="1"/>
  <c r="C17" i="2" s="1"/>
  <c r="E18" i="2" a="1"/>
  <c r="E18" i="2" s="1"/>
  <c r="C36" i="2" a="1"/>
  <c r="C36" i="2" s="1"/>
  <c r="C28" i="2" a="1"/>
  <c r="C28" i="2" s="1"/>
  <c r="E37" i="2" a="1"/>
  <c r="E37" i="2" s="1"/>
  <c r="C31" i="2" a="1"/>
  <c r="C31" i="2" s="1"/>
  <c r="E29" i="2" a="1"/>
  <c r="E29" i="2" s="1"/>
  <c r="C23" i="2" a="1"/>
  <c r="C23" i="2" s="1"/>
  <c r="E21" i="2" a="1"/>
  <c r="E21" i="2" s="1"/>
  <c r="C34" i="2" a="1"/>
  <c r="C34" i="2" s="1"/>
  <c r="E32" i="2" a="1"/>
  <c r="E32" i="2" s="1"/>
  <c r="C26" i="2" a="1"/>
  <c r="C26" i="2" s="1"/>
  <c r="E24" i="2" a="1"/>
  <c r="E24" i="2" s="1"/>
  <c r="C18" i="2" a="1"/>
  <c r="C18" i="2" s="1"/>
  <c r="L26" i="9" l="1"/>
  <c r="K25" i="9"/>
  <c r="K44" i="9" s="1"/>
  <c r="J44" i="9"/>
  <c r="I27" i="9"/>
  <c r="P38" i="9"/>
  <c r="P44" i="9" s="1"/>
  <c r="O38" i="9"/>
  <c r="O44" i="9" s="1"/>
  <c r="N37" i="9"/>
  <c r="N44" i="9" s="1"/>
  <c r="L37" i="9"/>
  <c r="R41" i="9"/>
  <c r="R44" i="9" s="1"/>
  <c r="Q41" i="9"/>
  <c r="Q44" i="9" s="1"/>
  <c r="H23" i="9"/>
  <c r="G23" i="9"/>
  <c r="G44" i="9" s="1"/>
  <c r="G45" i="9" s="1"/>
  <c r="I24" i="9"/>
  <c r="H24" i="9"/>
  <c r="H12" i="8"/>
  <c r="H9" i="8"/>
  <c r="E9" i="9"/>
  <c r="E43" i="9"/>
  <c r="F36" i="9" s="1"/>
  <c r="E12" i="6"/>
  <c r="E12" i="7"/>
  <c r="E12" i="2"/>
  <c r="I12" i="5" s="1"/>
  <c r="G9" i="8"/>
  <c r="E39" i="2"/>
  <c r="N472" i="3" s="1"/>
  <c r="E9" i="2"/>
  <c r="E9" i="7"/>
  <c r="E9" i="6"/>
  <c r="L44" i="9" l="1"/>
  <c r="I44" i="9"/>
  <c r="H44" i="9"/>
  <c r="H45" i="9" s="1"/>
  <c r="M37" i="9"/>
  <c r="M44" i="9" s="1"/>
  <c r="F30" i="9"/>
  <c r="F25" i="9"/>
  <c r="F34" i="9"/>
  <c r="F33" i="9"/>
  <c r="F24" i="9"/>
  <c r="F28" i="9"/>
  <c r="F35" i="9"/>
  <c r="F39" i="9"/>
  <c r="F38" i="9"/>
  <c r="F40" i="9"/>
  <c r="F22" i="9"/>
  <c r="F27" i="9"/>
  <c r="F37" i="9"/>
  <c r="F42" i="9"/>
  <c r="F26" i="9"/>
  <c r="F31" i="9"/>
  <c r="F32" i="9"/>
  <c r="F29" i="9"/>
  <c r="F41" i="9"/>
  <c r="F23" i="9"/>
  <c r="O470" i="3"/>
  <c r="O464" i="3"/>
  <c r="O468" i="3"/>
  <c r="O469" i="3"/>
  <c r="O466" i="3"/>
  <c r="O467" i="3"/>
  <c r="O463" i="3"/>
  <c r="O465" i="3"/>
  <c r="O461" i="3"/>
  <c r="O462" i="3"/>
  <c r="O459" i="3"/>
  <c r="O460" i="3"/>
  <c r="O457" i="3"/>
  <c r="O458" i="3"/>
  <c r="O455" i="3"/>
  <c r="O456" i="3"/>
  <c r="O453" i="3"/>
  <c r="O454" i="3"/>
  <c r="O451" i="3"/>
  <c r="O452" i="3"/>
  <c r="O446" i="3"/>
  <c r="O422" i="3"/>
  <c r="O391" i="3"/>
  <c r="O310" i="3"/>
  <c r="O211" i="3"/>
  <c r="O185" i="3"/>
  <c r="O172" i="3"/>
  <c r="O165" i="3"/>
  <c r="O158" i="3"/>
  <c r="O148" i="3"/>
  <c r="O136" i="3"/>
  <c r="O118" i="3"/>
  <c r="O109" i="3"/>
  <c r="O99" i="3"/>
  <c r="O84" i="3"/>
  <c r="O449" i="3"/>
  <c r="O68" i="3"/>
  <c r="O72" i="3"/>
  <c r="O77" i="3"/>
  <c r="O81" i="3"/>
  <c r="O88" i="3"/>
  <c r="O92" i="3"/>
  <c r="O97" i="3"/>
  <c r="O104" i="3"/>
  <c r="O110" i="3"/>
  <c r="O115" i="3"/>
  <c r="O122" i="3"/>
  <c r="O128" i="3"/>
  <c r="O133" i="3"/>
  <c r="O140" i="3"/>
  <c r="O144" i="3"/>
  <c r="O150" i="3"/>
  <c r="O157" i="3"/>
  <c r="O167" i="3"/>
  <c r="O174" i="3"/>
  <c r="O179" i="3"/>
  <c r="O187" i="3"/>
  <c r="O201" i="3"/>
  <c r="O205" i="3"/>
  <c r="O209" i="3"/>
  <c r="O215" i="3"/>
  <c r="O227" i="3"/>
  <c r="O239" i="3"/>
  <c r="O251" i="3"/>
  <c r="O264" i="3"/>
  <c r="O276" i="3"/>
  <c r="O297" i="3"/>
  <c r="O309" i="3"/>
  <c r="O328" i="3"/>
  <c r="O344" i="3"/>
  <c r="O356" i="3"/>
  <c r="O372" i="3"/>
  <c r="O384" i="3"/>
  <c r="O398" i="3"/>
  <c r="O416" i="3"/>
  <c r="O435" i="3"/>
  <c r="O57" i="3"/>
  <c r="O42" i="3"/>
  <c r="O35" i="3"/>
  <c r="O22" i="3"/>
  <c r="O331" i="3"/>
  <c r="O359" i="3"/>
  <c r="O379" i="3"/>
  <c r="O397" i="3"/>
  <c r="O415" i="3"/>
  <c r="O429" i="3"/>
  <c r="O63" i="3"/>
  <c r="O45" i="3"/>
  <c r="O37" i="3"/>
  <c r="O448" i="3"/>
  <c r="O431" i="3"/>
  <c r="O405" i="3"/>
  <c r="O322" i="3"/>
  <c r="O212" i="3"/>
  <c r="O186" i="3"/>
  <c r="O177" i="3"/>
  <c r="O166" i="3"/>
  <c r="O160" i="3"/>
  <c r="O152" i="3"/>
  <c r="O137" i="3"/>
  <c r="O125" i="3"/>
  <c r="O113" i="3"/>
  <c r="O101" i="3"/>
  <c r="O86" i="3"/>
  <c r="O471" i="3"/>
  <c r="O67" i="3"/>
  <c r="O71" i="3"/>
  <c r="O76" i="3"/>
  <c r="O80" i="3"/>
  <c r="O85" i="3"/>
  <c r="O91" i="3"/>
  <c r="O96" i="3"/>
  <c r="O103" i="3"/>
  <c r="O108" i="3"/>
  <c r="O114" i="3"/>
  <c r="O121" i="3"/>
  <c r="O127" i="3"/>
  <c r="O131" i="3"/>
  <c r="O138" i="3"/>
  <c r="O143" i="3"/>
  <c r="O149" i="3"/>
  <c r="O156" i="3"/>
  <c r="O164" i="3"/>
  <c r="O173" i="3"/>
  <c r="O178" i="3"/>
  <c r="O184" i="3"/>
  <c r="O191" i="3"/>
  <c r="O195" i="3"/>
  <c r="O200" i="3"/>
  <c r="O204" i="3"/>
  <c r="O208" i="3"/>
  <c r="O214" i="3"/>
  <c r="O218" i="3"/>
  <c r="O222" i="3"/>
  <c r="O226" i="3"/>
  <c r="O230" i="3"/>
  <c r="O234" i="3"/>
  <c r="O238" i="3"/>
  <c r="O242" i="3"/>
  <c r="O246" i="3"/>
  <c r="O250" i="3"/>
  <c r="O255" i="3"/>
  <c r="O259" i="3"/>
  <c r="O263" i="3"/>
  <c r="O267" i="3"/>
  <c r="O271" i="3"/>
  <c r="O275" i="3"/>
  <c r="O279" i="3"/>
  <c r="O283" i="3"/>
  <c r="O287" i="3"/>
  <c r="O291" i="3"/>
  <c r="O296" i="3"/>
  <c r="O300" i="3"/>
  <c r="O304" i="3"/>
  <c r="O308" i="3"/>
  <c r="O313" i="3"/>
  <c r="O327" i="3"/>
  <c r="O339" i="3"/>
  <c r="O351" i="3"/>
  <c r="O367" i="3"/>
  <c r="O388" i="3"/>
  <c r="O411" i="3"/>
  <c r="O434" i="3"/>
  <c r="O55" i="3"/>
  <c r="O25" i="3"/>
  <c r="O450" i="3"/>
  <c r="O406" i="3"/>
  <c r="O323" i="3"/>
  <c r="O254" i="3"/>
  <c r="O188" i="3"/>
  <c r="O180" i="3"/>
  <c r="O169" i="3"/>
  <c r="O162" i="3"/>
  <c r="O154" i="3"/>
  <c r="O139" i="3"/>
  <c r="O126" i="3"/>
  <c r="O116" i="3"/>
  <c r="O102" i="3"/>
  <c r="O87" i="3"/>
  <c r="O472" i="3"/>
  <c r="O66" i="3"/>
  <c r="O70" i="3"/>
  <c r="O75" i="3"/>
  <c r="O79" i="3"/>
  <c r="O83" i="3"/>
  <c r="O90" i="3"/>
  <c r="O95" i="3"/>
  <c r="O100" i="3"/>
  <c r="O107" i="3"/>
  <c r="O112" i="3"/>
  <c r="O120" i="3"/>
  <c r="O124" i="3"/>
  <c r="O130" i="3"/>
  <c r="O135" i="3"/>
  <c r="O142" i="3"/>
  <c r="O146" i="3"/>
  <c r="O153" i="3"/>
  <c r="O161" i="3"/>
  <c r="O170" i="3"/>
  <c r="O176" i="3"/>
  <c r="O182" i="3"/>
  <c r="O190" i="3"/>
  <c r="O194" i="3"/>
  <c r="O199" i="3"/>
  <c r="O203" i="3"/>
  <c r="O207" i="3"/>
  <c r="O213" i="3"/>
  <c r="O217" i="3"/>
  <c r="O221" i="3"/>
  <c r="O225" i="3"/>
  <c r="O229" i="3"/>
  <c r="O233" i="3"/>
  <c r="O237" i="3"/>
  <c r="O241" i="3"/>
  <c r="O245" i="3"/>
  <c r="O249" i="3"/>
  <c r="O253" i="3"/>
  <c r="O258" i="3"/>
  <c r="O262" i="3"/>
  <c r="O266" i="3"/>
  <c r="O270" i="3"/>
  <c r="O274" i="3"/>
  <c r="O278" i="3"/>
  <c r="O282" i="3"/>
  <c r="O286" i="3"/>
  <c r="O290" i="3"/>
  <c r="O295" i="3"/>
  <c r="O299" i="3"/>
  <c r="O303" i="3"/>
  <c r="O307" i="3"/>
  <c r="O312" i="3"/>
  <c r="O316" i="3"/>
  <c r="O320" i="3"/>
  <c r="O326" i="3"/>
  <c r="O330" i="3"/>
  <c r="O334" i="3"/>
  <c r="O338" i="3"/>
  <c r="O342" i="3"/>
  <c r="O346" i="3"/>
  <c r="O350" i="3"/>
  <c r="O354" i="3"/>
  <c r="O358" i="3"/>
  <c r="O362" i="3"/>
  <c r="O366" i="3"/>
  <c r="O370" i="3"/>
  <c r="O374" i="3"/>
  <c r="O378" i="3"/>
  <c r="O382" i="3"/>
  <c r="O387" i="3"/>
  <c r="O392" i="3"/>
  <c r="O396" i="3"/>
  <c r="O400" i="3"/>
  <c r="O404" i="3"/>
  <c r="O410" i="3"/>
  <c r="O414" i="3"/>
  <c r="O419" i="3"/>
  <c r="O424" i="3"/>
  <c r="O428" i="3"/>
  <c r="O433" i="3"/>
  <c r="O437" i="3"/>
  <c r="O441" i="3"/>
  <c r="O64" i="3"/>
  <c r="O59" i="3"/>
  <c r="O56" i="3"/>
  <c r="O40" i="3"/>
  <c r="O44" i="3"/>
  <c r="O48" i="3"/>
  <c r="O52" i="3"/>
  <c r="O34" i="3"/>
  <c r="O24" i="3"/>
  <c r="O28" i="3"/>
  <c r="O32" i="3"/>
  <c r="O197" i="3"/>
  <c r="O223" i="3"/>
  <c r="O235" i="3"/>
  <c r="O247" i="3"/>
  <c r="O260" i="3"/>
  <c r="O272" i="3"/>
  <c r="O284" i="3"/>
  <c r="O292" i="3"/>
  <c r="O301" i="3"/>
  <c r="O314" i="3"/>
  <c r="O324" i="3"/>
  <c r="O336" i="3"/>
  <c r="O352" i="3"/>
  <c r="O364" i="3"/>
  <c r="O376" i="3"/>
  <c r="O389" i="3"/>
  <c r="O402" i="3"/>
  <c r="O412" i="3"/>
  <c r="O426" i="3"/>
  <c r="O439" i="3"/>
  <c r="O61" i="3"/>
  <c r="O46" i="3"/>
  <c r="O38" i="3"/>
  <c r="O30" i="3"/>
  <c r="O321" i="3"/>
  <c r="O343" i="3"/>
  <c r="O355" i="3"/>
  <c r="O371" i="3"/>
  <c r="O383" i="3"/>
  <c r="O401" i="3"/>
  <c r="O420" i="3"/>
  <c r="O442" i="3"/>
  <c r="O41" i="3"/>
  <c r="O49" i="3"/>
  <c r="O23" i="3"/>
  <c r="O444" i="3"/>
  <c r="O417" i="3"/>
  <c r="O385" i="3"/>
  <c r="O293" i="3"/>
  <c r="O196" i="3"/>
  <c r="O183" i="3"/>
  <c r="O171" i="3"/>
  <c r="O163" i="3"/>
  <c r="O155" i="3"/>
  <c r="O147" i="3"/>
  <c r="O132" i="3"/>
  <c r="O117" i="3"/>
  <c r="O106" i="3"/>
  <c r="O94" i="3"/>
  <c r="O73" i="3"/>
  <c r="O65" i="3"/>
  <c r="O69" i="3"/>
  <c r="O74" i="3"/>
  <c r="O78" i="3"/>
  <c r="O82" i="3"/>
  <c r="O89" i="3"/>
  <c r="O93" i="3"/>
  <c r="O98" i="3"/>
  <c r="O105" i="3"/>
  <c r="O111" i="3"/>
  <c r="O119" i="3"/>
  <c r="O123" i="3"/>
  <c r="O129" i="3"/>
  <c r="O134" i="3"/>
  <c r="O141" i="3"/>
  <c r="O145" i="3"/>
  <c r="O151" i="3"/>
  <c r="O159" i="3"/>
  <c r="O168" i="3"/>
  <c r="O175" i="3"/>
  <c r="O181" i="3"/>
  <c r="O189" i="3"/>
  <c r="O193" i="3"/>
  <c r="O198" i="3"/>
  <c r="O202" i="3"/>
  <c r="O206" i="3"/>
  <c r="O210" i="3"/>
  <c r="O216" i="3"/>
  <c r="O220" i="3"/>
  <c r="O224" i="3"/>
  <c r="O228" i="3"/>
  <c r="O232" i="3"/>
  <c r="O236" i="3"/>
  <c r="O240" i="3"/>
  <c r="O244" i="3"/>
  <c r="O248" i="3"/>
  <c r="O252" i="3"/>
  <c r="O257" i="3"/>
  <c r="O261" i="3"/>
  <c r="O265" i="3"/>
  <c r="O269" i="3"/>
  <c r="O273" i="3"/>
  <c r="O277" i="3"/>
  <c r="O281" i="3"/>
  <c r="O285" i="3"/>
  <c r="O289" i="3"/>
  <c r="O294" i="3"/>
  <c r="O298" i="3"/>
  <c r="O302" i="3"/>
  <c r="O306" i="3"/>
  <c r="O311" i="3"/>
  <c r="O315" i="3"/>
  <c r="O319" i="3"/>
  <c r="O325" i="3"/>
  <c r="O329" i="3"/>
  <c r="O333" i="3"/>
  <c r="O337" i="3"/>
  <c r="O341" i="3"/>
  <c r="O345" i="3"/>
  <c r="O349" i="3"/>
  <c r="O353" i="3"/>
  <c r="O357" i="3"/>
  <c r="O361" i="3"/>
  <c r="O365" i="3"/>
  <c r="O369" i="3"/>
  <c r="O373" i="3"/>
  <c r="O377" i="3"/>
  <c r="O381" i="3"/>
  <c r="O386" i="3"/>
  <c r="O390" i="3"/>
  <c r="O395" i="3"/>
  <c r="O399" i="3"/>
  <c r="O403" i="3"/>
  <c r="O409" i="3"/>
  <c r="O413" i="3"/>
  <c r="O418" i="3"/>
  <c r="O423" i="3"/>
  <c r="O427" i="3"/>
  <c r="O432" i="3"/>
  <c r="O436" i="3"/>
  <c r="O440" i="3"/>
  <c r="O447" i="3"/>
  <c r="O58" i="3"/>
  <c r="O62" i="3"/>
  <c r="O39" i="3"/>
  <c r="O43" i="3"/>
  <c r="O47" i="3"/>
  <c r="O51" i="3"/>
  <c r="O36" i="3"/>
  <c r="O33" i="3"/>
  <c r="O27" i="3"/>
  <c r="O31" i="3"/>
  <c r="O21" i="3"/>
  <c r="O192" i="3"/>
  <c r="O219" i="3"/>
  <c r="O231" i="3"/>
  <c r="O243" i="3"/>
  <c r="O256" i="3"/>
  <c r="O268" i="3"/>
  <c r="O280" i="3"/>
  <c r="O288" i="3"/>
  <c r="O305" i="3"/>
  <c r="O318" i="3"/>
  <c r="O332" i="3"/>
  <c r="O340" i="3"/>
  <c r="O348" i="3"/>
  <c r="O360" i="3"/>
  <c r="O368" i="3"/>
  <c r="O380" i="3"/>
  <c r="O394" i="3"/>
  <c r="O408" i="3"/>
  <c r="O421" i="3"/>
  <c r="O430" i="3"/>
  <c r="O445" i="3"/>
  <c r="O54" i="3"/>
  <c r="O50" i="3"/>
  <c r="O26" i="3"/>
  <c r="O317" i="3"/>
  <c r="O335" i="3"/>
  <c r="O347" i="3"/>
  <c r="O363" i="3"/>
  <c r="O375" i="3"/>
  <c r="O393" i="3"/>
  <c r="O407" i="3"/>
  <c r="O425" i="3"/>
  <c r="O438" i="3"/>
  <c r="O60" i="3"/>
  <c r="O53" i="3"/>
  <c r="O29" i="3"/>
  <c r="O443" i="3"/>
  <c r="I9" i="5"/>
  <c r="F25" i="2"/>
  <c r="F29" i="2"/>
  <c r="F33" i="2"/>
  <c r="F34" i="2"/>
  <c r="F28" i="2"/>
  <c r="F19" i="2"/>
  <c r="F30" i="2"/>
  <c r="F22" i="2"/>
  <c r="F21" i="2"/>
  <c r="F24" i="2"/>
  <c r="F17" i="2"/>
  <c r="F23" i="2"/>
  <c r="F37" i="2"/>
  <c r="F27" i="2"/>
  <c r="F26" i="2"/>
  <c r="F32" i="2"/>
  <c r="F20" i="2"/>
  <c r="F36" i="2"/>
  <c r="F35" i="2"/>
  <c r="F18" i="2"/>
  <c r="F31" i="2"/>
  <c r="I45" i="9" l="1"/>
  <c r="J45" i="9" s="1"/>
  <c r="K45" i="9" s="1"/>
  <c r="L45" i="9" s="1"/>
  <c r="M45" i="9" s="1"/>
  <c r="N45" i="9" s="1"/>
  <c r="O45" i="9" s="1"/>
  <c r="P45" i="9" s="1"/>
  <c r="Q45" i="9" s="1"/>
  <c r="R45" i="9" s="1"/>
  <c r="F43" i="9"/>
  <c r="F39" i="2"/>
</calcChain>
</file>

<file path=xl/sharedStrings.xml><?xml version="1.0" encoding="utf-8"?>
<sst xmlns="http://schemas.openxmlformats.org/spreadsheetml/2006/main" count="3432" uniqueCount="1749">
  <si>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</si>
  <si>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</si>
  <si>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</si>
  <si>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</si>
  <si>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</si>
  <si>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</si>
  <si>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</si>
  <si>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</si>
  <si>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</si>
  <si>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</si>
  <si>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</si>
  <si>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</si>
  <si>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</si>
  <si>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Cargo Responsável Técnico:</t>
  </si>
  <si>
    <t>________________________________________________________________________________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</si>
  <si>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</si>
  <si>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</si>
  <si>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</si>
  <si>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</si>
  <si>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</si>
  <si>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</si>
  <si>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</si>
  <si>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</si>
  <si>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</si>
  <si>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</si>
  <si>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</si>
  <si>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</si>
  <si>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</si>
  <si>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</si>
  <si>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</si>
  <si>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</si>
  <si>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</si>
  <si>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</si>
  <si>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</si>
  <si>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</si>
  <si>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</si>
  <si>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</si>
  <si>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</si>
  <si>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</si>
  <si>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1.1 </t>
  </si>
  <si>
    <t>SINAPI</t>
  </si>
  <si>
    <t>m²</t>
  </si>
  <si>
    <t xml:space="preserve"> 95648 </t>
  </si>
  <si>
    <t>UN</t>
  </si>
  <si>
    <t xml:space="preserve"> 95673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</si>
  <si>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</si>
  <si>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</si>
  <si>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103689 </t>
  </si>
  <si>
    <t>FORNECIMENTO E INSTALAÇÃO DE PLACA DE OBRA COM CHAPA GALVANIZADA E ESTRUTURA DE MADEIRA. AF_03/2022_PS</t>
  </si>
  <si>
    <t xml:space="preserve"> 98459 </t>
  </si>
  <si>
    <t>SBC</t>
  </si>
  <si>
    <t>FUNDAÇÃO</t>
  </si>
  <si>
    <t xml:space="preserve"> 2.1 </t>
  </si>
  <si>
    <t xml:space="preserve"> 99059 </t>
  </si>
  <si>
    <t>M</t>
  </si>
  <si>
    <t xml:space="preserve"> 2.2 </t>
  </si>
  <si>
    <t xml:space="preserve"> 93358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</si>
  <si>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</si>
  <si>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</si>
  <si>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</si>
  <si>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</si>
  <si>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</si>
  <si>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</si>
  <si>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 xml:space="preserve"> 96543 </t>
  </si>
  <si>
    <t>KG</t>
  </si>
  <si>
    <t xml:space="preserve"> 2.7 </t>
  </si>
  <si>
    <t xml:space="preserve"> 2.8 </t>
  </si>
  <si>
    <t xml:space="preserve"> 96545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</si>
  <si>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</si>
  <si>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</si>
  <si>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</si>
  <si>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</si>
  <si>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</si>
  <si>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</si>
  <si>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</si>
  <si>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</si>
  <si>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</si>
  <si>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</si>
  <si>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</si>
  <si>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</si>
  <si>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 xml:space="preserve"> 000128 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</si>
  <si>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</si>
  <si>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</si>
  <si>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</si>
  <si>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</si>
  <si>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</si>
  <si>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</si>
  <si>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</si>
  <si>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</si>
  <si>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</si>
  <si>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</si>
  <si>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</si>
  <si>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</si>
  <si>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</si>
  <si>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</si>
  <si>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</si>
  <si>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</si>
  <si>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</si>
  <si>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</si>
  <si>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</si>
  <si>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</si>
  <si>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</si>
  <si>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</si>
  <si>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</si>
  <si>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</si>
  <si>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</si>
  <si>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</si>
  <si>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</si>
  <si>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</si>
  <si>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</si>
  <si>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</si>
  <si>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</si>
  <si>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</si>
  <si>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</si>
  <si>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</si>
  <si>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</si>
  <si>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</si>
  <si>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</si>
  <si>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</si>
  <si>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</si>
  <si>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</si>
  <si>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</si>
  <si>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</si>
  <si>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</si>
  <si>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</si>
  <si>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</si>
  <si>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</si>
  <si>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</si>
  <si>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</si>
  <si>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</si>
  <si>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</si>
  <si>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</si>
  <si>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</si>
  <si>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</si>
  <si>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</si>
  <si>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</si>
  <si>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</si>
  <si>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</si>
  <si>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</si>
  <si>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</si>
  <si>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</si>
  <si>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</si>
  <si>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</si>
  <si>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</si>
  <si>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</si>
  <si>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</si>
  <si>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</si>
  <si>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</si>
  <si>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</si>
  <si>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</si>
  <si>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</si>
  <si>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</si>
  <si>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</si>
  <si>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</si>
  <si>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</si>
  <si>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</si>
  <si>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</si>
  <si>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</si>
  <si>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</si>
  <si>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</si>
  <si>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</si>
  <si>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</si>
  <si>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</si>
  <si>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</si>
  <si>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</si>
  <si>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</si>
  <si>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</si>
  <si>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</si>
  <si>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</si>
  <si>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</si>
  <si>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</si>
  <si>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</si>
  <si>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</si>
  <si>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</si>
  <si>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</si>
  <si>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</si>
  <si>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</si>
  <si>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</si>
  <si>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</si>
  <si>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</si>
  <si>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</si>
  <si>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</si>
  <si>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</si>
  <si>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</si>
  <si>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</si>
  <si>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</si>
  <si>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</si>
  <si>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</si>
  <si>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</si>
  <si>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</si>
  <si>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</si>
  <si>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</si>
  <si>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</si>
  <si>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</si>
  <si>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</si>
  <si>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</si>
  <si>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</si>
  <si>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</si>
  <si>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</si>
  <si>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</si>
  <si>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CPOS/CDHU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</si>
  <si>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</si>
  <si>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</si>
  <si>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</si>
  <si>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</si>
  <si>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</si>
  <si>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</si>
  <si>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</si>
  <si>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</si>
  <si>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</si>
  <si>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</si>
  <si>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</si>
  <si>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</si>
  <si>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</si>
  <si>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</si>
  <si>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</si>
  <si>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</si>
  <si>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</si>
  <si>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</si>
  <si>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</si>
  <si>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</si>
  <si>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</si>
  <si>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</si>
  <si>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93654 </t>
  </si>
  <si>
    <t>DISJUNTOR MONOPOLAR TIPO DIN, CORRENTE NOMINAL DE 16A - FORNECIMENTO E INSTALAÇÃO. AF_10/2020</t>
  </si>
  <si>
    <t xml:space="preserve"> 13149 </t>
  </si>
  <si>
    <t xml:space="preserve"> 078206 </t>
  </si>
  <si>
    <t xml:space="preserve"> 078212 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</si>
  <si>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</si>
  <si>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</si>
  <si>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</si>
  <si>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</si>
  <si>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</si>
  <si>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</si>
  <si>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</si>
  <si>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</si>
  <si>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</si>
  <si>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</si>
  <si>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</si>
  <si>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 xml:space="preserve"> 11233 </t>
  </si>
  <si>
    <t>m</t>
  </si>
  <si>
    <t xml:space="preserve"> 11.1 </t>
  </si>
  <si>
    <t xml:space="preserve"> 12.1 </t>
  </si>
  <si>
    <t xml:space="preserve"> 12492 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</si>
  <si>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</si>
  <si>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</si>
  <si>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</si>
  <si>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</si>
  <si>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</si>
  <si>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</si>
  <si>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</si>
  <si>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</si>
  <si>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</si>
  <si>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</si>
  <si>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</si>
  <si>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</si>
  <si>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</si>
  <si>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</si>
  <si>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</si>
  <si>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 xml:space="preserve"> 9503 </t>
  </si>
  <si>
    <t xml:space="preserve"> 86883 </t>
  </si>
  <si>
    <t>SIFÃO DO TIPO FLEXÍVEL EM PVC 1  X 1.1/2  - FORNECIMENTO E INSTALAÇÃO. AF_01/2020</t>
  </si>
  <si>
    <t xml:space="preserve"> 15.1 </t>
  </si>
  <si>
    <t xml:space="preserve"> 13113 </t>
  </si>
  <si>
    <t xml:space="preserve"> 15.2 </t>
  </si>
  <si>
    <t xml:space="preserve"> 13110 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</si>
  <si>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</si>
  <si>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</si>
  <si>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</si>
  <si>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</si>
  <si>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</si>
  <si>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</si>
  <si>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</si>
  <si>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</si>
  <si>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</si>
  <si>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</si>
  <si>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</si>
  <si>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</si>
  <si>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</si>
  <si>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</si>
  <si>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</si>
  <si>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18.2 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</si>
  <si>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</si>
  <si>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</si>
  <si>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</si>
  <si>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</si>
  <si>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</si>
  <si>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</si>
  <si>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</si>
  <si>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</si>
  <si>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</si>
  <si>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</si>
  <si>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</si>
  <si>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</si>
  <si>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</si>
  <si>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</si>
  <si>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</si>
  <si>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</si>
  <si>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</si>
  <si>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</si>
  <si>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</si>
  <si>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</si>
  <si>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</si>
  <si>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</si>
  <si>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</si>
  <si>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2451 </t>
  </si>
  <si>
    <t>EQUIPAMENTOS DE APOIO</t>
  </si>
  <si>
    <t xml:space="preserve"> CPU1926 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</si>
  <si>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</si>
  <si>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</si>
  <si>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Totais -&gt;</t>
  </si>
  <si>
    <t>Total sem BDI</t>
  </si>
  <si>
    <t>Total do BDI</t>
  </si>
  <si>
    <t>Total Geral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</si>
  <si>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</si>
  <si>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</si>
  <si>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</si>
  <si>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</si>
  <si>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</si>
  <si>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</si>
  <si>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</si>
  <si>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</si>
  <si>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</si>
  <si>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</si>
  <si>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MO sem LS =&gt;</t>
  </si>
  <si>
    <t>LS =&gt;</t>
  </si>
  <si>
    <t>MO com LS =&gt;</t>
  </si>
  <si>
    <t>Valor do BDI =&gt;</t>
  </si>
  <si>
    <t>Valor com BDI =&gt;</t>
  </si>
  <si>
    <t>FUES - FUNDAÇÕES E ESTRUTURAS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</si>
  <si>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</si>
  <si>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</si>
  <si>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</si>
  <si>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</si>
  <si>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</si>
  <si>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 xml:space="preserve"> 97886 </t>
  </si>
  <si>
    <t>CAIXA ENTERRADA ELÉTRICA RETANGULAR, EM ALVENARIA COM TIJOLOS CERÂMICOS MACIÇOS, FUNDO COM BRITA, DIMENSÕES INTERNAS: 0,3X0,3X0,3 M. AF_12/2020</t>
  </si>
  <si>
    <t>PARE - PAREDES/PAINEIS</t>
  </si>
  <si>
    <t xml:space="preserve"> 91940 </t>
  </si>
  <si>
    <t>CAIXA RETANGULAR 4" X 2" MÉDIA (1,30 M DO PISO), PVC, INSTALADA EM PAREDE - FORNECIMENTO E INSTALAÇÃO. AF_03/2023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</si>
  <si>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</si>
  <si>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</si>
  <si>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</si>
  <si>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</si>
  <si>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</si>
  <si>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</si>
  <si>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</si>
  <si>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88264 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</si>
  <si>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</si>
  <si>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</si>
  <si>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</si>
  <si>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</si>
  <si>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</si>
  <si>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</si>
  <si>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</si>
  <si>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</si>
  <si>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MES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</si>
  <si>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</si>
  <si>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</si>
  <si>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</si>
  <si>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</si>
  <si>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</si>
  <si>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</si>
  <si>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</si>
  <si>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</si>
  <si>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</si>
  <si>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</si>
  <si>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</si>
  <si>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</si>
  <si>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</si>
  <si>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</si>
  <si>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</si>
  <si>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</si>
  <si>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</si>
  <si>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</si>
  <si>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</si>
  <si>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</si>
  <si>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</si>
  <si>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h</t>
  </si>
  <si>
    <t>Mão de Obra</t>
  </si>
  <si>
    <t xml:space="preserve"> 00020078 </t>
  </si>
  <si>
    <t>PASTA LUBRIFICANTE PARA TUBOS E CONEXOES COM JUNTA ELASTICA, EMBALAGEM DE *400* GR (USO EM PVC, ACO, POLIETILENO E OUTROS)</t>
  </si>
  <si>
    <t xml:space="preserve"> B.01.000.010139 </t>
  </si>
  <si>
    <t xml:space="preserve"> 92022 </t>
  </si>
  <si>
    <t>INTERRUPTOR SIMPLES (1 MÓDULO) COM 1 TOMADA DE EMBUTIR 2P+T 10 A, SEM SUPORTE E SEM PLACA - FORNECIMENTO E INSTALAÇÃO. AF_03/2023</t>
  </si>
  <si>
    <t>Serviços</t>
  </si>
  <si>
    <t>ESQUADRIAS DE MADEIRA</t>
  </si>
  <si>
    <t xml:space="preserve"> 86879 </t>
  </si>
  <si>
    <t xml:space="preserve"> B.01.000.010146 </t>
  </si>
  <si>
    <t>ASTU - ASSENTAMENTO DE TUBOS E PECAS</t>
  </si>
  <si>
    <t xml:space="preserve"> 97063 </t>
  </si>
  <si>
    <t xml:space="preserve"> 00020193 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</si>
  <si>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</si>
  <si>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</si>
  <si>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</si>
  <si>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</si>
  <si>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89353 </t>
  </si>
  <si>
    <t>REGISTRO DE GAVETA BRUTO, LATÃO, ROSCÁVEL, 3/4" - FORNECIMENTO E INSTALAÇÃO. AF_08/2021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</si>
  <si>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</si>
  <si>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</si>
  <si>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</si>
  <si>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</si>
  <si>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</si>
  <si>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</si>
  <si>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EQUIPAMENTOS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</si>
  <si>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</si>
  <si>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</si>
  <si>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</si>
  <si>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</si>
  <si>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</si>
  <si>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</si>
  <si>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</si>
  <si>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</si>
  <si>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</si>
  <si>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</si>
  <si>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</si>
  <si>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</si>
  <si>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</si>
  <si>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</si>
  <si>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</si>
  <si>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</si>
  <si>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</si>
  <si>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</si>
  <si>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</si>
  <si>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</si>
  <si>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</si>
  <si>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</si>
  <si>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</si>
  <si>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</si>
  <si>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ISS conforme a Lei Complementar 116/2003 e a Lei 11.438/1997 da Prefeitura Municipal de São Paulo.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</si>
  <si>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</si>
  <si>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</si>
  <si>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</si>
  <si>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</si>
  <si>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</si>
  <si>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</si>
  <si>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</si>
  <si>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</si>
  <si>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</si>
  <si>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</si>
  <si>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</si>
  <si>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</si>
  <si>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</si>
  <si>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</si>
  <si>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</si>
  <si>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</si>
  <si>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</si>
  <si>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</si>
  <si>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</si>
  <si>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</si>
  <si>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</si>
  <si>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</si>
  <si>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</si>
  <si>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</si>
  <si>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</si>
  <si>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</si>
  <si>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</si>
  <si>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</si>
  <si>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</si>
  <si>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</si>
  <si>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</si>
  <si>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</si>
  <si>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</si>
  <si>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</si>
  <si>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</si>
  <si>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</si>
  <si>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</si>
  <si>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</si>
  <si>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</si>
  <si>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</si>
  <si>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</si>
  <si>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</si>
  <si>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</si>
  <si>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</si>
  <si>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</si>
  <si>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</si>
  <si>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</si>
  <si>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</si>
  <si>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</si>
  <si>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</si>
  <si>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</si>
  <si>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</si>
  <si>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</si>
  <si>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</si>
  <si>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</si>
  <si>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</si>
  <si>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</si>
  <si>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</si>
  <si>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</si>
  <si>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</si>
  <si>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</si>
  <si>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</si>
  <si>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</si>
  <si>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</si>
  <si>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</si>
  <si>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</si>
  <si>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</si>
  <si>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</si>
  <si>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</si>
  <si>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</si>
  <si>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</si>
  <si>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</si>
  <si>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</si>
  <si>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</si>
  <si>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</si>
  <si>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</si>
  <si>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</si>
  <si>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</si>
  <si>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</si>
  <si>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</si>
  <si>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</si>
  <si>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</si>
  <si>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</si>
  <si>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05.07.040 </t>
  </si>
  <si>
    <t xml:space="preserve"> 1.3.1 </t>
  </si>
  <si>
    <t xml:space="preserve"> 3.3.9 </t>
  </si>
  <si>
    <t xml:space="preserve"> 3.3.10 </t>
  </si>
  <si>
    <t xml:space="preserve"> CPU2100 </t>
  </si>
  <si>
    <t xml:space="preserve"> CPU2102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</si>
  <si>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</si>
  <si>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</si>
  <si>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</si>
  <si>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</si>
  <si>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</si>
  <si>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</si>
  <si>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</si>
  <si>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</si>
  <si>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</si>
  <si>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</si>
  <si>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</si>
  <si>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</si>
  <si>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</si>
  <si>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</si>
  <si>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</si>
  <si>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</si>
  <si>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</si>
  <si>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</si>
  <si>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</si>
  <si>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</si>
  <si>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</si>
  <si>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</si>
  <si>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</si>
  <si>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</si>
  <si>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 xml:space="preserve"> 12098 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</si>
  <si>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</si>
  <si>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</si>
  <si>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</si>
  <si>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</si>
  <si>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 xml:space="preserve"> 112597 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</si>
  <si>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</si>
  <si>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</si>
  <si>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</si>
  <si>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</si>
  <si>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</si>
  <si>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</si>
  <si>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</si>
  <si>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</si>
  <si>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</si>
  <si>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</si>
  <si>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</si>
  <si>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</si>
  <si>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</si>
  <si>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</si>
  <si>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</si>
  <si>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</si>
  <si>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</si>
  <si>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</si>
  <si>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</si>
  <si>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</si>
  <si>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</si>
  <si>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</si>
  <si>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</si>
  <si>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</si>
  <si>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</si>
  <si>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</si>
  <si>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</si>
  <si>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</si>
  <si>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</si>
  <si>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15.2.1 </t>
  </si>
  <si>
    <t xml:space="preserve"> 44.03.300 </t>
  </si>
  <si>
    <t xml:space="preserve"> CPU2105 </t>
  </si>
  <si>
    <t>RALO SECO PVC QUADRADO 15x15 COM GRELHA</t>
  </si>
  <si>
    <t>LOUÇAS</t>
  </si>
  <si>
    <t xml:space="preserve"> 170124 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</si>
  <si>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</si>
  <si>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</si>
  <si>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</si>
  <si>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</si>
  <si>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</si>
  <si>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</si>
  <si>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</si>
  <si>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</si>
  <si>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</si>
  <si>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</si>
  <si>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</si>
  <si>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</si>
  <si>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</si>
  <si>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</si>
  <si>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</si>
  <si>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</si>
  <si>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</si>
  <si>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</si>
  <si>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</si>
  <si>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</si>
  <si>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</si>
  <si>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</si>
  <si>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</si>
  <si>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</si>
  <si>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</si>
  <si>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</si>
  <si>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</si>
  <si>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</si>
  <si>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</si>
  <si>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</si>
  <si>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</si>
  <si>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</si>
  <si>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</si>
  <si>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</si>
  <si>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</si>
  <si>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</si>
  <si>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</si>
  <si>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</si>
  <si>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</si>
  <si>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</si>
  <si>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89490 </t>
  </si>
  <si>
    <t>CURVA 45 GRAUS, PVC, SOLDÁVEL, DN 25MM,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</si>
  <si>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</si>
  <si>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</si>
  <si>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</si>
  <si>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</si>
  <si>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</si>
  <si>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</si>
  <si>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</si>
  <si>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</si>
  <si>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</si>
  <si>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</si>
  <si>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</si>
  <si>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</si>
  <si>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</si>
  <si>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</si>
  <si>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</si>
  <si>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</si>
  <si>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</si>
  <si>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</si>
  <si>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</si>
  <si>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</si>
  <si>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</si>
  <si>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</si>
  <si>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</si>
  <si>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</si>
  <si>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</si>
  <si>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</si>
  <si>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</si>
  <si>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</si>
  <si>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</si>
  <si>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</si>
  <si>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</si>
  <si>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</si>
  <si>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</si>
  <si>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</si>
  <si>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</si>
  <si>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</si>
  <si>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</si>
  <si>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</si>
  <si>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</si>
  <si>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</si>
  <si>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</si>
  <si>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</si>
  <si>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</si>
  <si>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</si>
  <si>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</si>
  <si>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</si>
  <si>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</si>
  <si>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</si>
  <si>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 xml:space="preserve"> 94962 </t>
  </si>
  <si>
    <t>CONCRETO MAGRO PARA LASTRO, TRAÇO 1:4,5:4,5 (EM MASSA SECA DE CIMENTO/ AREIA MÉDIA/ BRITA 1) - PREPARO MECÂNICO COM BETONEIRA 400 L. AF_05/2021</t>
  </si>
  <si>
    <t xml:space="preserve"> 46.01.070 </t>
  </si>
  <si>
    <t xml:space="preserve"> 89829 </t>
  </si>
  <si>
    <t>TE, PVC, SERIE NORMAL, ESGOTO PREDIAL, DN 75 X 75 MM, JUNTA ELÁSTICA, FORNECIDO E INSTALADO EM PRUMADA DE ESGOTO SANITÁRIO OU VENTILAÇÃO. AF_08/2022</t>
  </si>
  <si>
    <t>PLUVIAL</t>
  </si>
  <si>
    <t xml:space="preserve"> CPU2094 </t>
  </si>
  <si>
    <t>CURVA PVC PARA REDE COLETOR ESGOTO, 45 GR, 200 MM, COM JUNTA ELASTICA.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</si>
  <si>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</si>
  <si>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</si>
  <si>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</si>
  <si>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</si>
  <si>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 xml:space="preserve"> 97.02.210 </t>
  </si>
  <si>
    <t xml:space="preserve"> 11853 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</si>
  <si>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</si>
  <si>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</si>
  <si>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</si>
  <si>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</si>
  <si>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063445 </t>
  </si>
  <si>
    <t xml:space="preserve"> 063444 </t>
  </si>
  <si>
    <t xml:space="preserve"> 040395 </t>
  </si>
  <si>
    <t xml:space="preserve"> 063111 </t>
  </si>
  <si>
    <t xml:space="preserve"> 078583 </t>
  </si>
  <si>
    <t xml:space="preserve"> 062690 </t>
  </si>
  <si>
    <t xml:space="preserve"> 061461 </t>
  </si>
  <si>
    <t xml:space="preserve"> 061462 </t>
  </si>
  <si>
    <t xml:space="preserve"> 91957 </t>
  </si>
  <si>
    <t>INTERRUPTOR SIMPLES (1 MÓDULO) COM INTERRUPTOR PARALELO (1 MÓDULO), 10A/250V, INCLUINDO SUPORTE E PLACA - FORNECIMENTO E INSTALAÇÃO. AF_03/2023</t>
  </si>
  <si>
    <t xml:space="preserve"> 91953 </t>
  </si>
  <si>
    <t>INTERRUPTOR SIMPLES (1 MÓDULO), 10A/250V, INCLUINDO SUPORTE E PLACA - FORNECIMENTO E INSTALAÇÃO. AF_03/2023</t>
  </si>
  <si>
    <t xml:space="preserve"> 059208 </t>
  </si>
  <si>
    <t xml:space="preserve"> 062568 </t>
  </si>
  <si>
    <t xml:space="preserve"> 91996 </t>
  </si>
  <si>
    <t>TOMADA MÉDIA DE EMBUTIR (1 MÓDULO), 2P+T 10 A, INCLUINDO SUPORTE E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</si>
  <si>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</si>
  <si>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</si>
  <si>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92002 </t>
  </si>
  <si>
    <t>TOMADA MÉDIA DE EMBUTIR (2 MÓDULOS), 2P+T 10 A, SEM SUPORTE E SEM PLACA - FORNECIMENTO E INSTALAÇÃO. AF_03/2023</t>
  </si>
  <si>
    <t xml:space="preserve"> 92003 </t>
  </si>
  <si>
    <t>TOMADA MÉDIA DE EMBUTIR (2 MÓDULOS), 2P+T 20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</si>
  <si>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</si>
  <si>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</si>
  <si>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</si>
  <si>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</si>
  <si>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 xml:space="preserve"> 064563 </t>
  </si>
  <si>
    <t xml:space="preserve"> 063612 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</si>
  <si>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</si>
  <si>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</si>
  <si>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</si>
  <si>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</si>
  <si>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</si>
  <si>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</si>
  <si>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</si>
  <si>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</si>
  <si>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</si>
  <si>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</si>
  <si>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8662 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</si>
  <si>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</si>
  <si>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</si>
  <si>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</si>
  <si>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</si>
  <si>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</si>
  <si>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98111 </t>
  </si>
  <si>
    <t>CAIXA DE INSPEÇÃO PARA ATERRAMENTO, CIRCULAR, EM POLIETILENO, DIÂMETRO INTERNO = 0,3 M. AF_12/2020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</si>
  <si>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</si>
  <si>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</si>
  <si>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</si>
  <si>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</si>
  <si>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96987 </t>
  </si>
  <si>
    <t>BASE METÁLICA PARA MASTRO 1 ½"  PARA SPDA - FORNECIMENTO E INSTALAÇÃO. AF_08/2023</t>
  </si>
  <si>
    <t xml:space="preserve"> 101663 </t>
  </si>
  <si>
    <t>ABRAÇADEIRA DE FIXAÇÃO DE BRAÇOS DE LUMINÁRIAS DE 2" - FORNECIMENTO E INSTALAÇÃO. AF_08/2020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</si>
  <si>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</si>
  <si>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</si>
  <si>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</si>
  <si>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</si>
  <si>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</si>
  <si>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</si>
  <si>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12313 </t>
  </si>
  <si>
    <t>Corrente galvanizada</t>
  </si>
  <si>
    <t xml:space="preserve"> 100862 </t>
  </si>
  <si>
    <t>SUPORTE MÃO FRANCESA EM ACO, ABAS IGUAIS 40 CM, CAPACIDADE MINIMA 70 KG, BRANCO - FORNECIMENTO E INSTALAÇÃO. AF_01/2020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</si>
  <si>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</si>
  <si>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</si>
  <si>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</si>
  <si>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104658 </t>
  </si>
  <si>
    <t>SINALIZAÇÃO</t>
  </si>
  <si>
    <t>SERVIÇOS COMPLEMENTARES</t>
  </si>
  <si>
    <t xml:space="preserve"> C.06.000.022012 </t>
  </si>
  <si>
    <t xml:space="preserve"> C.06.000.022013 </t>
  </si>
  <si>
    <t xml:space="preserve"> 000386 </t>
  </si>
  <si>
    <t>SOLUCAO LIMPADORA PARA PVC EMBALAGEM 200cc</t>
  </si>
  <si>
    <t xml:space="preserve"> 003389 </t>
  </si>
  <si>
    <t>ADESIVO PARA PVC bisnaga de 75 gramas</t>
  </si>
  <si>
    <t xml:space="preserve"> 00021059 </t>
  </si>
  <si>
    <t>RALO FOFO COM REQUADRO, QUADRADO 150 X 150 MM</t>
  </si>
  <si>
    <t xml:space="preserve"> 00000306 </t>
  </si>
  <si>
    <t>ANEL BORRACHA, PARA TUBO PVC, REDE COLETOR ESGOTO, DN 200 MM (NBR 7362)</t>
  </si>
  <si>
    <t xml:space="preserve"> 6457 </t>
  </si>
  <si>
    <t>Curva 45º Vinilfort para coletor Esgotos, Junta Elástica Integrada, DN 200mm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</si>
  <si>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</si>
  <si>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</si>
  <si>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</si>
  <si>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</si>
  <si>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 xml:space="preserve"> 2.14 </t>
  </si>
  <si>
    <t xml:space="preserve"> 2.15 </t>
  </si>
  <si>
    <t>PUXADOR DUPLO EM AÇO INOXIDÁVEL, PARA PORTA DE MADEIRA, ALUMÍNIO OU VIDRO, DE 350 MM</t>
  </si>
  <si>
    <t>TORNEIRA CLÍNICA COM VOLANTE TIPO ALAVANCA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</si>
  <si>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</si>
  <si>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</si>
  <si>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</si>
  <si>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</si>
  <si>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</si>
  <si>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</si>
  <si>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</si>
  <si>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</si>
  <si>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TUBO DE PVC RÍGIDO SOLDÁVEL MARROM, DN= 75 MM, (2 1/2´),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</si>
  <si>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</si>
  <si>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</si>
  <si>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</si>
  <si>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</si>
  <si>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</si>
  <si>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</si>
  <si>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SERVENTE</t>
  </si>
  <si>
    <t>M2/MES</t>
  </si>
  <si>
    <t>M³</t>
  </si>
  <si>
    <t>PEDREIRO</t>
  </si>
  <si>
    <t>LAJE PRÉ-FABRICADA UNIDIRECIONAL EM VIGA TRELIÇADA/LAJOTA EM EPS LT 16 (12 + 4) - SC = 300KGF/M²</t>
  </si>
  <si>
    <t>LAJE PRÉ-FABRICADA UNIDIRECIONAL EM VIGA TRELIÇADA/LAJOTA EM EPS LT 20 (16 + 4) - SC = 300KGF/M²</t>
  </si>
  <si>
    <t xml:space="preserve"> 00011731 </t>
  </si>
  <si>
    <t>GRELHA FIXA, EM PVC BRANCA, QUADRADA, 150 X 150 MM, PARA RALOS E CAIXAS</t>
  </si>
  <si>
    <t>Laje pré-fabricada unidirecional em viga treliçada/lajota em EPS LT 16 (12 + 4), exceto capa de concreto</t>
  </si>
  <si>
    <t>Laje pré-fabricada unidirecional em viga treliçada/lajota em EPS LT 20 (16 + 4), exceto capa de concreto</t>
  </si>
  <si>
    <t xml:space="preserve"> 20.3 </t>
  </si>
  <si>
    <t xml:space="preserve"> 02.02.150 </t>
  </si>
  <si>
    <t>LOCAÇÃO DE CONTAINER TIPO DEPÓSITO - ÁREA MÍNIMA DE 13,80 M²</t>
  </si>
  <si>
    <t>unxmês</t>
  </si>
  <si>
    <t xml:space="preserve"> 1.4 </t>
  </si>
  <si>
    <t xml:space="preserve"> 1.4.1 </t>
  </si>
  <si>
    <t xml:space="preserve"> 93565 </t>
  </si>
  <si>
    <t>ENGENHEIRO CIVIL DE OBRA JUNIOR COM ENCARGOS COMPLEMENTARES</t>
  </si>
  <si>
    <t xml:space="preserve"> 16.2 </t>
  </si>
  <si>
    <t xml:space="preserve"> 110015 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</si>
  <si>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</si>
  <si>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</si>
  <si>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</si>
  <si>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</si>
  <si>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</si>
  <si>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</si>
  <si>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</si>
  <si>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</si>
  <si>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</si>
  <si>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</si>
  <si>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</si>
  <si>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</si>
  <si>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</si>
  <si>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</si>
  <si>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</si>
  <si>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</si>
  <si>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CPU2201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</si>
  <si>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</si>
  <si>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</si>
  <si>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</si>
  <si>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</si>
  <si>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</si>
  <si>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</si>
  <si>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</si>
  <si>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</si>
  <si>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</si>
  <si>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</si>
  <si>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</si>
  <si>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</si>
  <si>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</si>
  <si>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</si>
  <si>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</si>
  <si>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</si>
  <si>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140560 </t>
  </si>
  <si>
    <t xml:space="preserve"> 28.01.550 </t>
  </si>
  <si>
    <t>FECHADURA COM MAÇANETA TIPO ALAVANCA EM AÇO INOXIDÁVEL, PARA PORTA EXTERNA</t>
  </si>
  <si>
    <t xml:space="preserve"> 110108 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</si>
  <si>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</si>
  <si>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</si>
  <si>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</si>
  <si>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</si>
  <si>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</si>
  <si>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</si>
  <si>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</si>
  <si>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</si>
  <si>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</si>
  <si>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</si>
  <si>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11747 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</si>
  <si>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</si>
  <si>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</si>
  <si>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</si>
  <si>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</si>
  <si>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</si>
  <si>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 xml:space="preserve"> 054668 </t>
  </si>
  <si>
    <t xml:space="preserve"> 45.03.110 </t>
  </si>
  <si>
    <t>HIDRÔMETRO EM BRONZE, DIÂMETRO DE 40 MM (1 1/2´)</t>
  </si>
  <si>
    <t xml:space="preserve"> CPU2194 </t>
  </si>
  <si>
    <t>PRESSURIZADOR DE ÁGUA MAX PRESS 270 VF MONOFASICO 220V</t>
  </si>
  <si>
    <t xml:space="preserve"> 104003 </t>
  </si>
  <si>
    <t>BUCHA DE REDUÇÃO , LONGA, PVC, SOLDÁVEL, DN 50 X 32 MM, INSTALADO EM RAMAL DE DISTRIBUIÇÃO DE ÁGUA - FORNECIMENTO E INSTALAÇÃO. AF_06/2022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</si>
  <si>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</si>
  <si>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</si>
  <si>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89557 </t>
  </si>
  <si>
    <t>REDUÇÃO EXCÊNTRICA, PVC, SERIE R, ÁGUA PLUVIAL, DN 100 X 75 MM, JUNTA ELÁSTICA, FORNECIDO E INSTALADO EM RAMAL DE ENCAMINHAMENTO. AF_06/2022</t>
  </si>
  <si>
    <t xml:space="preserve"> 46.05.040 </t>
  </si>
  <si>
    <t>TUBO PVC RÍGIDO, TIPO COLETOR ESGOTO, JUNTA ELÁSTICA, DN= 150 MM, INCLUSIVE CONEXÕES</t>
  </si>
  <si>
    <t xml:space="preserve"> 3234 </t>
  </si>
  <si>
    <t xml:space="preserve"> 12884 </t>
  </si>
  <si>
    <t xml:space="preserve"> 10785 </t>
  </si>
  <si>
    <t xml:space="preserve"> 160612 </t>
  </si>
  <si>
    <t xml:space="preserve"> 05.054.0115-0 </t>
  </si>
  <si>
    <t xml:space="preserve"> 97359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</si>
  <si>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</si>
  <si>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</si>
  <si>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</si>
  <si>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6701060 </t>
  </si>
  <si>
    <t xml:space="preserve"> 14.2 </t>
  </si>
  <si>
    <t xml:space="preserve"> 18.050.0120-0 </t>
  </si>
  <si>
    <t xml:space="preserve"> 91935 </t>
  </si>
  <si>
    <t>CABO DE COBRE FLEXÍVEL ISOLADO, 16 MM², ANTI-CHAMA 0,6/1,0 KV, PARA CIRCUITOS TERMINAIS - FORNECIMENTO E INSTALAÇÃO. AF_03/2023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</si>
  <si>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</si>
  <si>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</si>
  <si>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</si>
  <si>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</si>
  <si>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</si>
  <si>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</si>
  <si>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93661 </t>
  </si>
  <si>
    <t>DISJUNTOR BIPOLAR TIPO DIN, CORRENTE NOMINAL DE 16A - FORNECIMENTO E INSTALAÇÃO. AF_10/2020</t>
  </si>
  <si>
    <t xml:space="preserve"> 93664 </t>
  </si>
  <si>
    <t>DISJUNTOR BIPOLAR TIPO DIN, CORRENTE NOMINAL DE 32A - FORNECIMENTO E INSTALAÇÃO. AF_10/2020</t>
  </si>
  <si>
    <t xml:space="preserve"> 151324 </t>
  </si>
  <si>
    <t xml:space="preserve"> 93653 </t>
  </si>
  <si>
    <t>DISJUNTOR MONOPOLAR TIPO DIN, CORRENTE NOMINAL DE 10A - FORNECIMENTO E INSTALAÇÃO. AF_10/2020</t>
  </si>
  <si>
    <t xml:space="preserve"> 064819 </t>
  </si>
  <si>
    <t xml:space="preserve"> 15.005.0280-0 </t>
  </si>
  <si>
    <t xml:space="preserve"> 070665 </t>
  </si>
  <si>
    <t xml:space="preserve"> 90460 </t>
  </si>
  <si>
    <t>SUPORTE PARA 2 TUBOS HORIZONTAIS, ESPAÇADO A CADA 56 CM, EM PERFILADO COM COMPRIMENTO DE 25 CM FIXADO EM LAJE, POR METRO DE TUBULAÇÃO FIXADA. AF_09/2023</t>
  </si>
  <si>
    <t>SERP - SERVIÇOS PRELIMINARES</t>
  </si>
  <si>
    <t xml:space="preserve"> 4.2.4 </t>
  </si>
  <si>
    <t xml:space="preserve"> 1979 </t>
  </si>
  <si>
    <t>Isolamento acústico c/ painel  em lã de vidro e = 50mm (isover-santa marina ref psi - 30/50mm ou similar)</t>
  </si>
  <si>
    <t xml:space="preserve"> 12.2 </t>
  </si>
  <si>
    <t>Isolamento Acústico</t>
  </si>
  <si>
    <t xml:space="preserve"> 10.1.1 </t>
  </si>
  <si>
    <t xml:space="preserve"> 11.2 </t>
  </si>
  <si>
    <t xml:space="preserve"> 16.3 </t>
  </si>
  <si>
    <t xml:space="preserve"> 16.3.1 </t>
  </si>
  <si>
    <t>JUSTIFICATIVAS DE COMPOSIÇÕES DE PREÇO UNITÁRIO</t>
  </si>
  <si>
    <t>COMPOSIÇÃO</t>
  </si>
  <si>
    <t>COMPOSIÇÃO DE REFERÊNCIA</t>
  </si>
  <si>
    <t>JUSTIFICATIVA</t>
  </si>
  <si>
    <t>Utilizada composição do CPOS para São Paulo visto que o SINAPI não possui composição adequada para contemplar tal serviço.</t>
  </si>
  <si>
    <t>Utilizada composição do SBC para São Paulo visto que o SINAPI não possui composição adequada para contemplar tal serviço.</t>
  </si>
  <si>
    <t>Utilizada composição do ORSE visto que o SINAPI não possui composição adequada referente a esse serviço. Os preços praticados para esse serviço no estado de Sergipe são referenciais e exequíveis para o orçamento em São Paulo. Os insumos da composição ORSE que são SINAPI estão atualizados para o estado de São Paulo, portanto, somente insumos do ORSE que mantem preço na região de Sergipe.</t>
  </si>
  <si>
    <t>Utilizada composição EMOP visto que o SINAPI não possui composição adequada referente a esse serviço. Os preços praticados para esse serviço no estado do Rio de Janeiro são referenciais e exequíveis para o orçamento em São Paulo. Os insumos da composição EMOP que são SINAPI estão atualizados para o estado de São Paulo, portanto, somente insumos do EMOP que mantem preço na região do Rio de Janeiro.</t>
  </si>
  <si>
    <t>Utilizada composição do IOPES visto que o SINAPI não possui composição adequada referente a esse serviço. Os preços praticados para esse serviço no estado de Espirito Santo são referenciais e exequíveis para o orçamento em São Paulo. Os insumos da composição Espírito Santo que são SINAPI estão atualizados para o estado de São Paulo, portanto, somente insumos do IOPES que mantem preço na região de Espírito Santo.</t>
  </si>
  <si>
    <t>Junção do insumo de locação de andaime m2xmês com a montagem e desmontagem do andaime em m2, sendo coeficiente de 0,416 que corresponde à 1m2 em proporção à área do andaime informado no insumo.</t>
  </si>
  <si>
    <t>Utilizada composição SETOP para referência de mobilização e desmobilização.</t>
  </si>
  <si>
    <t>Composição criada de acordo com o projeto utilizando área conforme detalhamento.</t>
  </si>
  <si>
    <t>Utilizada composição do SBC visto que o SINAPI não possui composição adequada para contemplar tal serviço. Alteração do insumo SBC 007506 para o insumo SINAPI 00021059</t>
  </si>
  <si>
    <t>Utilizada mão de obra de instalação do pressurizador conforme composição SBC de referência e insumo conforme cotação realizada.</t>
  </si>
  <si>
    <t>Utilizada composição SINAPI de referência na qual foi descontinuada em 2020 e atualizados os insumos para o SINAPI da data base do orçamento, sendo eles, 00020079 para 00020078 com conversão de coeficiente proporcional ao consumo da embalagem e 00042692 por 6457 ORSE visto que não possui esse diametro e inclinação no SINAPI.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</si>
  <si>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</si>
  <si>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</si>
  <si>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</si>
  <si>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</si>
  <si>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</si>
  <si>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</si>
  <si>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</si>
  <si>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</si>
  <si>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 xml:space="preserve"> 060121 </t>
  </si>
  <si>
    <t xml:space="preserve"> 13158 </t>
  </si>
  <si>
    <t>COMPOSIÇÕES ANALÍTICAS DE PREÇOS UNITÁRIOS</t>
  </si>
  <si>
    <t>Unidade Básica de Saúde Porte 1 - Área Construída: 389,78m²</t>
  </si>
  <si>
    <t>SINAPI - Encargos Sociais a partir de dezembro de 2023.</t>
  </si>
  <si>
    <t>LAJES</t>
  </si>
  <si>
    <t>Utilizada composição de referência SINAPI e alterado o insumo 1527 para 1525 conforme especificação do projeto.</t>
  </si>
  <si>
    <t>Utilizada composição de referência SINAPI e acrescentado a composição ORSE 1979 referente ao isolamento acustico.</t>
  </si>
  <si>
    <t>Substituição do insumo de chapa de gesso ST 00039413 SINAPI pelo insumo de chapa resistente à umidade 00039417 SINAPI</t>
  </si>
  <si>
    <t>Substituição do insumo de chapa de gesso ST 00039413 SINAPI pelo insumo de chapa resistente à umidade 00039417 SINAPI e acrescentado a composição ORSE 1979 referente ao isolamento acustico.</t>
  </si>
  <si>
    <t xml:space="preserve"> 11703 </t>
  </si>
  <si>
    <t xml:space="preserve"> 012208 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</si>
  <si>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</si>
  <si>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</si>
  <si>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 xml:space="preserve"> 052032 </t>
  </si>
  <si>
    <t>TAPUME COM TELHA METÁLICA. AF_03/2024</t>
  </si>
  <si>
    <t xml:space="preserve"> CPU2287 </t>
  </si>
  <si>
    <t>MOBILIZAÇÃO E DESMOBILIZAÇÃO DE OBRA EM CENTRO URBANO OU REGIÃO LIMÍTROFE COM VALOR ENTRE 1.000.000,01 E 3.000.000,00 (0,30%)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</si>
  <si>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</si>
  <si>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</si>
  <si>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</si>
  <si>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</si>
  <si>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</si>
  <si>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 xml:space="preserve"> 104920 </t>
  </si>
  <si>
    <t>ARMAÇÃO DE BLOCO, SAPATA ISOLADA, VIGA BALDRAME E SAPATA CORRIDA UTILIZANDO AÇO CA-50 DE 12,5 MM - MONTAGEM. AF_01/2024</t>
  </si>
  <si>
    <t xml:space="preserve"> 104921 </t>
  </si>
  <si>
    <t>ARMAÇÃO DE BLOCO, SAPATA ISOLADA, VIGA BALDRAME E SAPATA CORRIDA UTILIZANDO AÇO CA-50 DE 16 MM - MONTAGEM. AF_01/2024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</si>
  <si>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</si>
  <si>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</si>
  <si>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CPU2284 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</si>
  <si>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</si>
  <si>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</si>
  <si>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</si>
  <si>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 xml:space="preserve"> CPU2283 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</si>
  <si>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</si>
  <si>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</si>
  <si>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</si>
  <si>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 xml:space="preserve"> CPU2101 </t>
  </si>
  <si>
    <t>Laje pré-fabricada unidirecional em viga treliçada/lajota em EPS LT 12 (8 + 4), exceto capa de concreto</t>
  </si>
  <si>
    <t>VERGA MOLDADA IN LOCO COM UTILIZAÇÃO DE BLOCOS CANALETA, ESPESSURA DE *20* CM. AF_03/2024</t>
  </si>
  <si>
    <t>CONTRAVERGA MOLDADA IN LOCO COM UTILIZAÇÃO DE BLOCOS CANALETA, ESPESSURA DE *20* CM. AF_03/2024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</si>
  <si>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</si>
  <si>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</si>
  <si>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</si>
  <si>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</si>
  <si>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</si>
  <si>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</si>
  <si>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100113 </t>
  </si>
  <si>
    <t xml:space="preserve"> 25.02.110 </t>
  </si>
  <si>
    <t>PORTA VENEZIANA DE ABRIR EM ALUMÍNIO, SOB MEDIDA</t>
  </si>
  <si>
    <t xml:space="preserve"> 14.003.0205-0 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</si>
  <si>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</si>
  <si>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</si>
  <si>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</si>
  <si>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</si>
  <si>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</si>
  <si>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</si>
  <si>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</si>
  <si>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</si>
  <si>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</si>
  <si>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</si>
  <si>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</si>
  <si>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</si>
  <si>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</si>
  <si>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</si>
  <si>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</si>
  <si>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</si>
  <si>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</si>
  <si>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</si>
  <si>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</si>
  <si>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</si>
  <si>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</si>
  <si>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</si>
  <si>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</si>
  <si>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</si>
  <si>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</si>
  <si>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</si>
  <si>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</si>
  <si>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</si>
  <si>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</si>
  <si>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</si>
  <si>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</si>
  <si>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</si>
  <si>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</si>
  <si>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</si>
  <si>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</si>
  <si>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</si>
  <si>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</si>
  <si>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</si>
  <si>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</si>
  <si>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</si>
  <si>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</si>
  <si>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</si>
  <si>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</si>
  <si>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</si>
  <si>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</si>
  <si>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 xml:space="preserve"> 16.1.3 </t>
  </si>
  <si>
    <t xml:space="preserve"> 94492 </t>
  </si>
  <si>
    <t>REGISTRO DE ESFERA, PVC, SOLDÁVEL, COM VOLANTE, DN  50 MM - FORNECIMENTO E INSTALAÇÃO. AF_08/2021</t>
  </si>
  <si>
    <t>ADAPTADOR CURTO COM BOLSA E ROSCA PARA REGISTRO, PVC, SOLDÁVEL, DN 50MM X 1.1/4", INSTALADO EM RAMAL DE DISTRIBUIÇÃO DE ÁGUA - FORNECIMENTO E INSTALAÇÃO. AF_06/2022</t>
  </si>
  <si>
    <t xml:space="preserve"> 89448 </t>
  </si>
  <si>
    <t>TUBO, PVC, SOLDÁVEL, DN 40MM, INSTALADO EM PRUMADA DE ÁGUA - FORNECIMENTO E INSTALAÇÃO. AF_06/2022</t>
  </si>
  <si>
    <t xml:space="preserve"> 48.02.008 </t>
  </si>
  <si>
    <t>RESERVATÓRIO DE FIBRA DE VIDRO - CAPACIDADE DE 15.000 LITROS</t>
  </si>
  <si>
    <t xml:space="preserve"> 12882 </t>
  </si>
  <si>
    <t>Pressurizador até 12mca/160w/220v</t>
  </si>
  <si>
    <t xml:space="preserve"> 4883 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</si>
  <si>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</si>
  <si>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</si>
  <si>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</si>
  <si>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</si>
  <si>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Caixa de passagem em alvenaria de tijolos maciços esp. = 0,12m,  dim. int. = 0.50 x 0.50 x 0.60m, com grelha de ferro fundido</t>
  </si>
  <si>
    <t xml:space="preserve"> 16.3.2 </t>
  </si>
  <si>
    <t xml:space="preserve"> 6409 </t>
  </si>
  <si>
    <t>*Caixa de passagem em alvenaria de tijolos maciços esp=12cm, dim. int. 0,60x0,60x1,00m, sem tampa</t>
  </si>
  <si>
    <t xml:space="preserve"> 16.3.3 </t>
  </si>
  <si>
    <t xml:space="preserve"> 053039 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</si>
  <si>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</si>
  <si>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</si>
  <si>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</si>
  <si>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</si>
  <si>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</si>
  <si>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054083 </t>
  </si>
  <si>
    <t xml:space="preserve"> 16.3.9 </t>
  </si>
  <si>
    <t xml:space="preserve"> 89599 </t>
  </si>
  <si>
    <t>LUVA SIMPLES, PVC, SERIE R, ÁGUA PLUVIAL, DN 75 MM, JUNTA ELÁSTICA, FORNECIDO E INSTALADO EM CONDUTORES VERTICAIS DE ÁGUAS PLUVIAIS. AF_06/2022</t>
  </si>
  <si>
    <t xml:space="preserve"> 16.3.10 </t>
  </si>
  <si>
    <t xml:space="preserve"> 16.3.11 </t>
  </si>
  <si>
    <t xml:space="preserve"> 16.3.12 </t>
  </si>
  <si>
    <t xml:space="preserve"> 16.3.13 </t>
  </si>
  <si>
    <t xml:space="preserve"> 9925 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</si>
  <si>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</si>
  <si>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</si>
  <si>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</si>
  <si>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</si>
  <si>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062002 </t>
  </si>
  <si>
    <t xml:space="preserve"> 92010 </t>
  </si>
  <si>
    <t>TOMADA MÉDIA DE EMBUTIR (3 MÓDULOS), 2P+T 10 A, SEM SUPORTE E SEM PLACA - FORNECIMENTO E INSTALAÇÃO. AF_03/2023</t>
  </si>
  <si>
    <t xml:space="preserve"> 064035 </t>
  </si>
  <si>
    <t xml:space="preserve"> 37.24.042 </t>
  </si>
  <si>
    <t>DISPOSITIVO DE PROTEÇÃO CONTRA SURTO, 1 POLO, SUPORTABILIDADE &amp;LT;= 4 KV, UN ATÉ 240V/415V, IIMP = 60 KA, CURVA DE ENSAIO 10/350µS - CLASSE 1</t>
  </si>
  <si>
    <t xml:space="preserve"> 063052 </t>
  </si>
  <si>
    <t xml:space="preserve"> 060107 </t>
  </si>
  <si>
    <t xml:space="preserve"> 8685 </t>
  </si>
  <si>
    <t xml:space="preserve"> 9524 </t>
  </si>
  <si>
    <t xml:space="preserve"> 062562 </t>
  </si>
  <si>
    <t xml:space="preserve"> 38.04.080 </t>
  </si>
  <si>
    <t>ELETRODUTO GALVANIZADO CONFORME NBR13057 -  1 1/4´ COM ACESSÓRIOS</t>
  </si>
  <si>
    <t xml:space="preserve"> 101538 </t>
  </si>
  <si>
    <t>ARMAÇÃO SECUNDÁRIA, COM 1 ESTRIBO E 1 ISOLADOR - FORNECIMENTO E INSTALAÇÃO. AF_07/2020</t>
  </si>
  <si>
    <t xml:space="preserve"> 061236 </t>
  </si>
  <si>
    <t xml:space="preserve"> 064500 </t>
  </si>
  <si>
    <t xml:space="preserve"> 062300 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</si>
  <si>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</si>
  <si>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</si>
  <si>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</si>
  <si>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</si>
  <si>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</si>
  <si>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</si>
  <si>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</si>
  <si>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</si>
  <si>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 xml:space="preserve"> 200065 </t>
  </si>
  <si>
    <t xml:space="preserve"> 070660 </t>
  </si>
  <si>
    <t xml:space="preserve"> 12498 </t>
  </si>
  <si>
    <t xml:space="preserve"> 721 </t>
  </si>
  <si>
    <t xml:space="preserve"> 070901 </t>
  </si>
  <si>
    <t xml:space="preserve"> 070904 </t>
  </si>
  <si>
    <t xml:space="preserve"> 070216 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</si>
  <si>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</si>
  <si>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</si>
  <si>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</si>
  <si>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</si>
  <si>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</si>
  <si>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</si>
  <si>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</si>
  <si>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</si>
  <si>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</si>
  <si>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</si>
  <si>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</si>
  <si>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</si>
  <si>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</si>
  <si>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</si>
  <si>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88495 </t>
  </si>
  <si>
    <t>EMASSAMENTO COM MASSA LÁTEX, APLICAÇÃO EM PAREDE, UMA DEMÃO, LIXAMENTO MANUAL. AF_04/2023</t>
  </si>
  <si>
    <t xml:space="preserve"> 88494 </t>
  </si>
  <si>
    <t>EMASSAMENTO COM MASSA LÁTEX, APLICAÇÃO EM TETO, UMA DEMÃO, LIXAMENTO MANUAL. AF_04/2023</t>
  </si>
  <si>
    <t>Porcent.</t>
  </si>
  <si>
    <t xml:space="preserve"> 6702001 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</si>
  <si>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</si>
  <si>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</si>
  <si>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</si>
  <si>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</si>
  <si>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</si>
  <si>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94451 </t>
  </si>
  <si>
    <t>CUMEEIRA PARA TELHA DE FIBROCIMENTO ESTRUTURAL E = 6 MM, INCLUSO ACESSÓRIOS DE FIXAÇÃO E IÇAMENTO. AF_07/2019</t>
  </si>
  <si>
    <t xml:space="preserve"> 96534 </t>
  </si>
  <si>
    <t>FABRICAÇÃO, MONTAGEM E DESMONTAGEM DE FÔRMA PARA BLOCO DE COROAMENTO, EM MADEIRA SERRADA, E=25 MM, 4 UTILIZAÇÕES. AF_01/2024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</si>
  <si>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</si>
  <si>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</si>
  <si>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</si>
  <si>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</si>
  <si>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104641 </t>
  </si>
  <si>
    <t>PINTURA LÁTEX ACRÍLICA ECONÔMICA, APLICAÇÃO MANUAL EM PAREDES, DUAS DEMÃOS. AF_04/2023</t>
  </si>
  <si>
    <t xml:space="preserve"> 95305 </t>
  </si>
  <si>
    <t>TEXTURA ACRÍLICA, APLICAÇÃO MANUAL EM PAREDE, UMA DEMÃO. AF_04/2023</t>
  </si>
  <si>
    <t xml:space="preserve"> 104639 </t>
  </si>
  <si>
    <t>PINTURA LÁTEX ACRÍLICA ECONÔMICA, APLICAÇÃO MANUAL EM TETO, DUAS DEMÃOS. AF_04/2023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</si>
  <si>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</si>
  <si>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</si>
  <si>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</si>
  <si>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</si>
  <si>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</si>
  <si>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</si>
  <si>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</si>
  <si>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</si>
  <si>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</si>
  <si>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</si>
  <si>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</si>
  <si>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</si>
  <si>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</si>
  <si>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</si>
  <si>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</si>
  <si>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</si>
  <si>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</si>
  <si>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</si>
  <si>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</si>
  <si>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</si>
  <si>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</si>
  <si>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</si>
  <si>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</si>
  <si>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</si>
  <si>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</si>
  <si>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</si>
  <si>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</si>
  <si>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</si>
  <si>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</si>
  <si>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</si>
  <si>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</si>
  <si>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</si>
  <si>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</si>
  <si>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</si>
  <si>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</si>
  <si>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</si>
  <si>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</si>
  <si>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</si>
  <si>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</si>
  <si>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</si>
  <si>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</si>
  <si>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</si>
  <si>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</si>
  <si>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</si>
  <si>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</si>
  <si>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</si>
  <si>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</si>
  <si>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</si>
  <si>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</si>
  <si>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</si>
  <si>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</si>
  <si>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</si>
  <si>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</si>
  <si>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</si>
  <si>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</si>
  <si>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</si>
  <si>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</si>
  <si>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</si>
  <si>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</si>
  <si>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</si>
  <si>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</si>
  <si>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</si>
  <si>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</si>
  <si>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</si>
  <si>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</si>
  <si>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</si>
  <si>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</si>
  <si>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15.3.14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</si>
  <si>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</si>
  <si>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</si>
  <si>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</si>
  <si>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</si>
  <si>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</si>
  <si>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</si>
  <si>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</si>
  <si>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</si>
  <si>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</si>
  <si>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</si>
  <si>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</si>
  <si>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</si>
  <si>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</si>
  <si>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</si>
  <si>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</si>
  <si>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</si>
  <si>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</si>
  <si>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</si>
  <si>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19.9 </t>
  </si>
  <si>
    <t xml:space="preserve"> 19.10 </t>
  </si>
  <si>
    <t xml:space="preserve"> 20.1.1 </t>
  </si>
  <si>
    <t xml:space="preserve"> 20.2.1 </t>
  </si>
  <si>
    <t xml:space="preserve"> 20.3.1 </t>
  </si>
  <si>
    <t xml:space="preserve"> 4656 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</si>
  <si>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</si>
  <si>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</si>
  <si>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100324 </t>
  </si>
  <si>
    <t>LASTRO COM MATERIAL GRANULAR (PEDRA BRITADA N.1 E PEDRA BRITADA N.2), APLICADO EM PISOS OU LAJES SOBRE SOLO, ESPESSURA DE *10 CM*. AF_01/2024</t>
  </si>
  <si>
    <t xml:space="preserve"> CPU2288 </t>
  </si>
  <si>
    <t xml:space="preserve"> 2.16 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</si>
  <si>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</si>
  <si>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</si>
  <si>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</si>
  <si>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</si>
  <si>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</si>
  <si>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</si>
  <si>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</si>
  <si>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</si>
  <si>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23.08.242 </t>
  </si>
  <si>
    <t>PORTA LISA DE CORRER SUSPENSA EM MADEIRA COM BATENTE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</si>
  <si>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</si>
  <si>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</si>
  <si>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</si>
  <si>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</si>
  <si>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</si>
  <si>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</si>
  <si>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</si>
  <si>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</si>
  <si>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</si>
  <si>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Utilizada composição de referência SINAPI e subsituído o insumo 1525 por 34493 para adequação da resistencia necessaria.</t>
  </si>
  <si>
    <t>Ministério da Saúde - Departamento de Estratégias e Políticas de Saúde Comunitária</t>
  </si>
  <si>
    <t>02</t>
  </si>
  <si>
    <t xml:space="preserve">CPOS/CDHU 02.02.150 </t>
  </si>
  <si>
    <t xml:space="preserve">ORSE 11703 </t>
  </si>
  <si>
    <t xml:space="preserve">ORSE 4656 </t>
  </si>
  <si>
    <t xml:space="preserve">SBC 012208 </t>
  </si>
  <si>
    <t xml:space="preserve">SBC 052032 </t>
  </si>
  <si>
    <t xml:space="preserve">CPOS/CDHU 05.07.040 </t>
  </si>
  <si>
    <t>SETOP ED-50393</t>
  </si>
  <si>
    <t>SINAPI 97063 + INSUMO SINAPI 20193</t>
  </si>
  <si>
    <t>SINAPI 96557</t>
  </si>
  <si>
    <t xml:space="preserve">SBC 000128 </t>
  </si>
  <si>
    <t>SINAPI 103672</t>
  </si>
  <si>
    <t>SINAPI 103675</t>
  </si>
  <si>
    <t>CPOS 13.01.310</t>
  </si>
  <si>
    <t>Utilizada composição do CPOS para São Paulo visto que o SINAPI não possui composição adequada para contemplar tal serviço. Excluídos os insumos referentes à capa de concreto visto que esses quantitativos estão presentes no concreto, forma e aço de lajes da planilha orçamentária.</t>
  </si>
  <si>
    <t>CPOS 13.01.320</t>
  </si>
  <si>
    <t>CPOS 13.01.330</t>
  </si>
  <si>
    <t xml:space="preserve">ORSE 10783 </t>
  </si>
  <si>
    <t>SINAPI 96359</t>
  </si>
  <si>
    <t xml:space="preserve">SBC 100113 </t>
  </si>
  <si>
    <t xml:space="preserve">SBC 110015 </t>
  </si>
  <si>
    <t xml:space="preserve">CPOS/CDHU 23.08.242 </t>
  </si>
  <si>
    <t>ORSE 11946 + SINAPI 102166</t>
  </si>
  <si>
    <t xml:space="preserve">CPOS/CDHU 25.02.110 </t>
  </si>
  <si>
    <t xml:space="preserve">EMOP 14.003.0205-0 </t>
  </si>
  <si>
    <t xml:space="preserve">ORSE 12098 </t>
  </si>
  <si>
    <t xml:space="preserve">CPOS/CDHU 28.20.650 </t>
  </si>
  <si>
    <t xml:space="preserve">ORSE 13110 </t>
  </si>
  <si>
    <t xml:space="preserve">SBC 112597 </t>
  </si>
  <si>
    <t xml:space="preserve">SBC 140560 </t>
  </si>
  <si>
    <t xml:space="preserve">CPOS/CDHU 28.01.550 </t>
  </si>
  <si>
    <t xml:space="preserve">SBC 110108 </t>
  </si>
  <si>
    <t xml:space="preserve">ORSE 2180 </t>
  </si>
  <si>
    <t xml:space="preserve">ORSE 10168 </t>
  </si>
  <si>
    <t xml:space="preserve">ORSE 11233 </t>
  </si>
  <si>
    <t xml:space="preserve">ORSE 12492 </t>
  </si>
  <si>
    <t xml:space="preserve">CPOS/CDHU 44.01.040 </t>
  </si>
  <si>
    <t xml:space="preserve">IOPES 170124 </t>
  </si>
  <si>
    <t xml:space="preserve">CPOS/CDHU 44.01.850 </t>
  </si>
  <si>
    <t xml:space="preserve">CPOS/CDHU 44.02.200 </t>
  </si>
  <si>
    <t xml:space="preserve">ORSE 13262 </t>
  </si>
  <si>
    <t xml:space="preserve">CPOS/CDHU 44.03.300 </t>
  </si>
  <si>
    <t xml:space="preserve">CPOS/CDHU 44.03.316 </t>
  </si>
  <si>
    <t xml:space="preserve">ORSE 9676 </t>
  </si>
  <si>
    <t xml:space="preserve">ORSE 11747 </t>
  </si>
  <si>
    <t xml:space="preserve">ORSE 9503 </t>
  </si>
  <si>
    <t xml:space="preserve">ORSE 13113 </t>
  </si>
  <si>
    <t>SBC 053037</t>
  </si>
  <si>
    <t xml:space="preserve">EMOP 18.050.0120-0 </t>
  </si>
  <si>
    <t xml:space="preserve">SBC 054668 </t>
  </si>
  <si>
    <t xml:space="preserve">CPOS/CDHU 45.03.110 </t>
  </si>
  <si>
    <t>SBC 077390 + COTAÇÃO</t>
  </si>
  <si>
    <t xml:space="preserve">CPOS/CDHU 48.02.008 </t>
  </si>
  <si>
    <t xml:space="preserve">ORSE 12882 </t>
  </si>
  <si>
    <t xml:space="preserve">CPOS/CDHU 48.02.300 </t>
  </si>
  <si>
    <t xml:space="preserve">ORSE 4883 </t>
  </si>
  <si>
    <t xml:space="preserve">CPOS/CDHU 46.03.050 </t>
  </si>
  <si>
    <t xml:space="preserve">CPOS/CDHU 46.03.038 </t>
  </si>
  <si>
    <t xml:space="preserve">CPOS/CDHU 46.03.040 </t>
  </si>
  <si>
    <t xml:space="preserve">CPOS/CDHU 46.01.040 </t>
  </si>
  <si>
    <t xml:space="preserve">CPOS/CDHU 46.02.010 </t>
  </si>
  <si>
    <t xml:space="preserve">CPOS/CDHU 46.03.080 </t>
  </si>
  <si>
    <t xml:space="preserve">ORSE 1595 </t>
  </si>
  <si>
    <t xml:space="preserve">ORSE 9760 </t>
  </si>
  <si>
    <t xml:space="preserve">ORSE 12646 </t>
  </si>
  <si>
    <t xml:space="preserve">ORSE 3234 </t>
  </si>
  <si>
    <t xml:space="preserve">ORSE 6409 </t>
  </si>
  <si>
    <t xml:space="preserve">SBC 053039 </t>
  </si>
  <si>
    <t xml:space="preserve">SBC 054083 </t>
  </si>
  <si>
    <t xml:space="preserve">CPOS/CDHU 46.05.020 </t>
  </si>
  <si>
    <t xml:space="preserve">CPOS/CDHU 46.05.040 </t>
  </si>
  <si>
    <t xml:space="preserve">CPOS/CDHU 46.01.070 </t>
  </si>
  <si>
    <t>SINAPI 83535</t>
  </si>
  <si>
    <t xml:space="preserve">ORSE 12889 </t>
  </si>
  <si>
    <t xml:space="preserve">ORSE 12888 </t>
  </si>
  <si>
    <t xml:space="preserve">CPOS/CDHU 97.02.210 </t>
  </si>
  <si>
    <t xml:space="preserve">ORSE 11853 </t>
  </si>
  <si>
    <t xml:space="preserve">CPOS/CDHU 97.02.198 </t>
  </si>
  <si>
    <t xml:space="preserve">ORSE 12884 </t>
  </si>
  <si>
    <t xml:space="preserve">CPOS/CDHU 50.05.312 </t>
  </si>
  <si>
    <t xml:space="preserve">ORSE 10785 </t>
  </si>
  <si>
    <t xml:space="preserve">IOPES 160612 </t>
  </si>
  <si>
    <t xml:space="preserve">EMOP 05.054.0115-0 </t>
  </si>
  <si>
    <t xml:space="preserve">ORSE 9925 </t>
  </si>
  <si>
    <t xml:space="preserve">SBC 063445 </t>
  </si>
  <si>
    <t xml:space="preserve">SBC 063444 </t>
  </si>
  <si>
    <t xml:space="preserve">SBC 040395 </t>
  </si>
  <si>
    <t xml:space="preserve">SBC 063111 </t>
  </si>
  <si>
    <t xml:space="preserve">SBC 078583 </t>
  </si>
  <si>
    <t xml:space="preserve">SBC 062690 </t>
  </si>
  <si>
    <t xml:space="preserve">SBC 061461 </t>
  </si>
  <si>
    <t xml:space="preserve">SBC 061462 </t>
  </si>
  <si>
    <t xml:space="preserve">SBC 059208 </t>
  </si>
  <si>
    <t xml:space="preserve">SBC 062002 </t>
  </si>
  <si>
    <t xml:space="preserve">SBC 062568 </t>
  </si>
  <si>
    <t xml:space="preserve">SBC 064035 </t>
  </si>
  <si>
    <t xml:space="preserve">IOPES 151324 </t>
  </si>
  <si>
    <t xml:space="preserve">SBC 064563 </t>
  </si>
  <si>
    <t xml:space="preserve">CPOS/CDHU 37.24.042 </t>
  </si>
  <si>
    <t xml:space="preserve">SBC 064819 </t>
  </si>
  <si>
    <t xml:space="preserve">ORSE 13149 </t>
  </si>
  <si>
    <t xml:space="preserve">SBC 063612 </t>
  </si>
  <si>
    <t xml:space="preserve">SBC 063052 </t>
  </si>
  <si>
    <t xml:space="preserve">SBC 060107 </t>
  </si>
  <si>
    <t xml:space="preserve">ORSE 8685 </t>
  </si>
  <si>
    <t xml:space="preserve">ORSE 9524 </t>
  </si>
  <si>
    <t xml:space="preserve">SBC 062562 </t>
  </si>
  <si>
    <t xml:space="preserve">CPOS/CDHU 38.04.080 </t>
  </si>
  <si>
    <t xml:space="preserve">ORSE 8662 </t>
  </si>
  <si>
    <t xml:space="preserve">SBC 061236 </t>
  </si>
  <si>
    <t xml:space="preserve">SBC 064500 </t>
  </si>
  <si>
    <t xml:space="preserve">SBC 062300 </t>
  </si>
  <si>
    <t xml:space="preserve">CPOS/CDHU 41.31.040 </t>
  </si>
  <si>
    <t xml:space="preserve">SBC 060121 </t>
  </si>
  <si>
    <t xml:space="preserve">ORSE 13158 </t>
  </si>
  <si>
    <t xml:space="preserve">ORSE 11273 </t>
  </si>
  <si>
    <t xml:space="preserve">SBC 078206 </t>
  </si>
  <si>
    <t xml:space="preserve">SBC 078212 </t>
  </si>
  <si>
    <t xml:space="preserve">ORSE 11412 </t>
  </si>
  <si>
    <t xml:space="preserve">SBC 200065 </t>
  </si>
  <si>
    <t xml:space="preserve">EMOP 15.005.0280-0 </t>
  </si>
  <si>
    <t xml:space="preserve">SBC 070665 </t>
  </si>
  <si>
    <t xml:space="preserve">SBC 070660 </t>
  </si>
  <si>
    <t xml:space="preserve">ORSE 12498 </t>
  </si>
  <si>
    <t xml:space="preserve">ORSE 721 </t>
  </si>
  <si>
    <t xml:space="preserve">SBC 070901 </t>
  </si>
  <si>
    <t xml:space="preserve">SBC 070904 </t>
  </si>
  <si>
    <t xml:space="preserve">SBC 070216 </t>
  </si>
  <si>
    <t xml:space="preserve">CPOS/CDHU 69.20.340 </t>
  </si>
  <si>
    <t xml:space="preserve">ORSE 8733 </t>
  </si>
  <si>
    <t xml:space="preserve">ORSE 8732 </t>
  </si>
  <si>
    <t xml:space="preserve">ORSE 12313 </t>
  </si>
  <si>
    <t xml:space="preserve">ORSE 12043 </t>
  </si>
  <si>
    <t xml:space="preserve">ORSE 2451 </t>
  </si>
  <si>
    <t>CPU2424</t>
  </si>
  <si>
    <t>SIURB 17010074</t>
  </si>
  <si>
    <t>Utilizada composição de referência SIURB para mão de obra e insumo, bem como inclusão do insumo SBC 016202 para atendimento do projeto.</t>
  </si>
  <si>
    <t>CPU2425</t>
  </si>
  <si>
    <t>SBC 110271</t>
  </si>
  <si>
    <t>Utilziada composição de referência SBC para São Paulo com o coeficiente proporcional ao tamanho da porta.</t>
  </si>
  <si>
    <t>Estão exclusos do escopo: movimentação de terra, mobiliário e equipamentos, bate-macas, chapas metálicas das portas, instalações de automação, CFTV, energia fotovoltaica, controle de acesso, CATV, sonorização, luminárias externas, compressor odontológico e bomba de vacuo odontológico portatéis e equipamentos de ar condicionado.</t>
  </si>
  <si>
    <t xml:space="preserve"> 96557 </t>
  </si>
  <si>
    <t>CONCRETAGEM DE BLOCO DE COROAMENTO OU VIGA BALDRAME, FCK 30 MPA, COM USO DE BOMBA - LANÇAMENTO, ADENSAMENTO E ACABAMENTO. AF_01/2024</t>
  </si>
  <si>
    <t xml:space="preserve"> 7.1.1.5 </t>
  </si>
  <si>
    <t xml:space="preserve"> CPU2425 </t>
  </si>
  <si>
    <t>PORTA DE MADEIRA COM VIDRO, 2 FOLHAS, ABERTURA DE GIRO COM ACABAMENTO EM PINTURA BRANCA</t>
  </si>
  <si>
    <t xml:space="preserve"> 7.1.1.6 </t>
  </si>
  <si>
    <t xml:space="preserve"> 7.2.1.5 </t>
  </si>
  <si>
    <t xml:space="preserve"> 91961 </t>
  </si>
  <si>
    <t>INTERRUPTOR PARALELO (2 MÓDULOS), 10A/250V, INCLUINDO SUPORTE E PLACA - FORNECIMENTO E INSTALAÇÃO. AF_03/2023</t>
  </si>
  <si>
    <t xml:space="preserve"> 16.2.5 </t>
  </si>
  <si>
    <t xml:space="preserve"> 17.2.4 </t>
  </si>
  <si>
    <t xml:space="preserve"> CPU2424 </t>
  </si>
  <si>
    <t>POSTO DE CONSUMO DE O2 OU AR VÁCUO OU N2O</t>
  </si>
  <si>
    <t xml:space="preserve"> 19.11 </t>
  </si>
  <si>
    <t xml:space="preserve"> 110271 </t>
  </si>
  <si>
    <t>PORTA COMPLETA MADEIRA 2 FL.1,40x2,10m PARA VIDRO</t>
  </si>
  <si>
    <t>Edificação</t>
  </si>
  <si>
    <t xml:space="preserve"> 016202 </t>
  </si>
  <si>
    <t>TARUGO ACO INOX 5/8" (20cm)</t>
  </si>
  <si>
    <t xml:space="preserve"> 85001 </t>
  </si>
  <si>
    <t>SIURB</t>
  </si>
  <si>
    <t>POSTO DE CONSUMO DE O2 OU AR OU VÁCUO OU N2O SOMENTE O APARELHO, SEM INSTALAÇÃO</t>
  </si>
  <si>
    <t>02.01.021</t>
  </si>
  <si>
    <t>CONSTRUÇÃO PROVISÓRIA EM MADEIRA - FORNECIMENTO E MONTAGEM</t>
  </si>
  <si>
    <t>02.02.140</t>
  </si>
  <si>
    <t>LOCAÇÃO DE CONTAINER TIPO SANITÁRIO COM 2 VASOS SANITÁRIOS, 2 LAVATÓRIOS, 2 MICTÓRIOS E 4 PONTOS PARA CHUVEIRO - ÁREA MÍNIMA DE 13,80 M2</t>
  </si>
  <si>
    <t>CONSTRUÇÃO PROVISÓRIA EM MADEIRA (REFEITÓRIO) - FORNECIMENTO E MONTAGEM</t>
  </si>
  <si>
    <t>02.05.212</t>
  </si>
  <si>
    <t>ANDAIME TUBULAR FACHADEIRO COM PISO METÁLICO E SAPATAS AJUSTÁVEIS</t>
  </si>
  <si>
    <t>13.01.310</t>
  </si>
  <si>
    <t>LAJE PRÉ-FABRICADA UNIDIRECIONAL EM VIGA TRELIÇADA/LAJOTA EM EPS LT 12 (8+4), COM CAPA DE CONCRETO DE 25 MPA</t>
  </si>
  <si>
    <t>LAJE PRÉ-FABRICADA UNIDIRECIONAL EM VIGA TRELIÇADA/LAJOTA EM EPS LT 16 (12+4), COM CAPA DE CONCRETO DE 25 MPA</t>
  </si>
  <si>
    <t>13.01.330</t>
  </si>
  <si>
    <t>13.01.320</t>
  </si>
  <si>
    <t>LAJE PRÉ-FABRICADA UNIDIRECIONAL EM VIGA TRELIÇADA/LAJOTA EM EPS LT 20 (16+4), COM CAPA DE CONCRETO DE 25 MPA</t>
  </si>
  <si>
    <t>ALVENARIA DE VEDAÇÃO COM ELEMENTO VAZADO DE CERÂMICA (COBOGÓ) DE 7X20X20CM E ARGAMASSA DE ASSENTAMENTO COM PREPARO EM BETONEIRA. AF_05/2020</t>
  </si>
  <si>
    <t>16.32.120</t>
  </si>
  <si>
    <t>COBERTURA PLANA EM CHAPA POLICARBONATO ALVEOLAR 10mm</t>
  </si>
  <si>
    <t>30.01.120</t>
  </si>
  <si>
    <t>BARRA DE APOIO RETA, PARA PESSOAS COM MOBILIDADE REDUZIDA, EM TUBO DE AÇO INOXIDÁVEL DE 1/14' X 400 MM</t>
  </si>
  <si>
    <t>17.01.020</t>
  </si>
  <si>
    <t>ARGAMASSA DE REGULARIZAÇÃO E/OU PROTEÇÃO</t>
  </si>
  <si>
    <t>17.10.020</t>
  </si>
  <si>
    <t>PISO EM GRANILETE MOLDADO NO LOCAL</t>
  </si>
  <si>
    <t>17.10.410</t>
  </si>
  <si>
    <t>RODAPÉ EM PLACAS PRÉ-MOLDADAS DE GRANILITE, ACABAMENTO ENCERADO, ATÉ 10 CM</t>
  </si>
  <si>
    <t>44.02.062</t>
  </si>
  <si>
    <t>TAMPO/BANCADA EM GRANITO, COM FRONTÃO, ESPESSURA DE 2 CM, ACABAMENTO POLIDO</t>
  </si>
  <si>
    <t>44.01.610</t>
  </si>
  <si>
    <t>LAVATÓRIO DE LOUÇA PARA CANTO, SEM COLUNA - SEM PERTENCES</t>
  </si>
  <si>
    <t>44.03.645</t>
  </si>
  <si>
    <t>TORNEIRA DE MESA AUTOMÁTICA, ACIONAMENTO HIDROMECÂNICO, EM LATÃO CROMADO, DN = 1/2' OU 3/4'</t>
  </si>
  <si>
    <t>44.03.720</t>
  </si>
  <si>
    <t>TORNEIRA DE MESA PARA LAVATÓRIO, ACIONAMENTO HIDROMECÂNICO COM ALAVANCA, REGISTRO INTEGRADO REGULADOR DE VAZÃO, EM LATÃO CROMADO, DN = 1/2'</t>
  </si>
  <si>
    <t>44.03.940</t>
  </si>
  <si>
    <t>DUCHA HIGIÊNICA COM REGISTRO</t>
  </si>
  <si>
    <t>30.01.030</t>
  </si>
  <si>
    <t>BARRA DE APOIO RETA, PARA PESSOAS COM MOBILIDADE REDUZIDA, EM TUBO DE AÇO INOXIDÁVEL DE 1 1/2' X 800 MM</t>
  </si>
  <si>
    <t>BARRA DE APOIO RETA, PARA PESSOAS COM MOBILIDADE REDUZIDA, EM TUBO DE AÇO INOXIDÁVEL DE 1 1/4' X 400 MM</t>
  </si>
  <si>
    <t>49.04.010</t>
  </si>
  <si>
    <t>RALO SECO EM PVC RÍGIDO DE 100 X 40 MM, COM GRELHA</t>
  </si>
  <si>
    <t>49.03.020</t>
  </si>
  <si>
    <t>CAIXA DE GORDURA EM ALVENARIA, 600 X 600 X 600 MM</t>
  </si>
  <si>
    <t>UM</t>
  </si>
  <si>
    <t>97.02.197</t>
  </si>
  <si>
    <t>PLACA DE SINALIZAÇÃO EM PVC, COM INDICAÇÃO DE ALERTA.</t>
  </si>
  <si>
    <t>97.02.194</t>
  </si>
  <si>
    <t>PLACA DE SINALIZAÇÃO EM PVC FOTOLUMINESCENTE (150X150MM), COM INDICAÇÃO DE EQUIPAMENTOS DE COMBATE À INCÊNDIO E ALARME.</t>
  </si>
  <si>
    <t>97.02.195</t>
  </si>
  <si>
    <t>PLACA DE SINALIZAÇÃO EM PVC FOTOLUMINESCENTE (240X120MM), COM INDICAÇÃO DE ROTA DE EVACUAÇÃO E SAÍDA DE EMERGÊNCIA.</t>
  </si>
  <si>
    <t>50.01.060</t>
  </si>
  <si>
    <t>ABRIGO PARA HIDRANTE/MANGUEIRA (EMBUTIR E EXTERNO)</t>
  </si>
  <si>
    <t>55.01.020</t>
  </si>
  <si>
    <t>LIMPEZA FINAL DE OBRA</t>
  </si>
  <si>
    <t>40.02.080</t>
  </si>
  <si>
    <t>CAIXA DE PASSAGEM EM CHAPA, COM TAMPA PARAFUSADA , 300 X 300 X 120 MM</t>
  </si>
  <si>
    <t>43.05.030</t>
  </si>
  <si>
    <t>EXAUSTOR ELÉTRICO EM PLÁSTICO, VAZÃO DE 150 A 190 M3 / H</t>
  </si>
  <si>
    <t>43.05.100</t>
  </si>
  <si>
    <t>INSUFLADOR DE AR COMPACTO, PARA RENOVAÇÃO DE AR EM AMBIENTES, VAZÃO MÁXIMA 93 M3 / H</t>
  </si>
  <si>
    <t>39.24.173</t>
  </si>
  <si>
    <t>CABO DE COBRE FLEXÍVEL DE 4 X A MM2, ISOLAMENTO 500V - ISOLAÇÃO PP 70ºC</t>
  </si>
  <si>
    <t>61.20.130</t>
  </si>
  <si>
    <t>DUTO EM CHAPA DE AÇO GALVANIZADO</t>
  </si>
  <si>
    <t>61.10.310</t>
  </si>
  <si>
    <t>DUTO FLEXÍVEL ALUMINIZADO, SEÇÃO CIRCULAR DE 15 CM (6')</t>
  </si>
  <si>
    <t>61.10.300</t>
  </si>
  <si>
    <t>DUTO FLEXÍVEL ALUMINIZADO, SEÇÃO CIRCULAR DE 10 CM (4')</t>
  </si>
  <si>
    <t>43.20.130</t>
  </si>
  <si>
    <t>CAIXA DE PASSAGEM PARA CONDICIONAMENTO DE AR TIPO SPLIT, COM SAÍDA DE DRENO ÚNICO NA VERTICAL - 39 X 22 X 6 CM</t>
  </si>
  <si>
    <t>39.04.070</t>
  </si>
  <si>
    <t>CABO DE COBRE NU, TÊMPERA MOLE, CLASSE 2, DE 35 MM2</t>
  </si>
  <si>
    <t>39.04.080</t>
  </si>
  <si>
    <t>CABO DE COBRE NU, TÊMPERA MOLE, CLASSE 2, DE 50 MM2</t>
  </si>
  <si>
    <t>CAIXA DE EQUALIZAÇÃO, DE EMBUTIR, EM AÇO COM BARRAMENTO, DE 200 X 200 MM E TAMPA</t>
  </si>
  <si>
    <t>42.05.380</t>
  </si>
  <si>
    <t>41.14.310</t>
  </si>
  <si>
    <t>LUMINÁRIA REDONDA DE EMBUTIR COM DIFUSOR RECUADO, PARA 1 OU 2 LÂMPADAS FLUORESCENTES COMPACTAS DE 15 W / 18 W / 20 W / 23 W / 26 W</t>
  </si>
  <si>
    <t>41.14.560</t>
  </si>
  <si>
    <t>LUMINÁRIA RETANGULAR DE EMBUTIR TIPO CALHA ABERTA COM ALETAS PARABÓLICAS PARA 2 LÂMPADAS FLUORESCENTES TUBULARES DE 28 W / 54 W</t>
  </si>
  <si>
    <t>41.11.712</t>
  </si>
  <si>
    <t>LUMINÁRIA LED REDONDA DE EMBUTIR PARA PAREDE OU PISO, ÁREA INTERNA OU EXTERNA, BIVOLT - POTÊNCIA 6 W</t>
  </si>
  <si>
    <t>41.20.080</t>
  </si>
  <si>
    <t>PLAFON PLÁSTICO E/OU PVC PARA ACABAMENTO DE PONTO DE LUZ, COM SOQUETE E-27 PARA LÂMPADA FLUORESCENTE COMPACTA</t>
  </si>
  <si>
    <t>37.13.640</t>
  </si>
  <si>
    <t>DISJUNTOR TERMOMAGNÉTICO, BIPOLAR 220/380 V, CORRENTE DE 60 A ATÉ 100 A</t>
  </si>
  <si>
    <t>37.25.100</t>
  </si>
  <si>
    <t>DISJUNTOR EM CAIXA MOLDADA TRIPOLAR, TÉRMICO E MAGNÉTICO FIXOS, TENSÃO DE ISOLAMENTO 480/690V, DE 70 A ATÉ 150 A</t>
  </si>
  <si>
    <t>37.24.044</t>
  </si>
  <si>
    <t>DISPOSITIVO DE PROTEÇÃO CONTRA SURTO, 4 POLOS, SUPORTABILIDADE &lt;= 2,5KV, 3F+N, UM ATÉ 240/415V, CURVA DE ENSAIO 8/20us, In=20ka/40ka classe 2</t>
  </si>
  <si>
    <t>SERVIÇOS TÉCNICOS ESPECIALIZADOS PARA ACOMPANHAMENTO DE EXECUÇÕES PROFUNDAS E ESTRUTURAS DE CONTENÇÃO</t>
  </si>
  <si>
    <t>CONCRETO FCK = 30MPA, TRAÇO 1:2, 1:2,5 (EM MASSA SECA DE CIMENTO / AREIA MÉDIA / BRITA 1) - PREPARO MECÂNICO COM BETONEIRA 400 L. AF_05/2021</t>
  </si>
  <si>
    <t>23.09.060</t>
  </si>
  <si>
    <t>PORTA LISA COM BATENTE MADEIRA - 120 X 210 CM</t>
  </si>
  <si>
    <t>23.09.100</t>
  </si>
  <si>
    <t>PORTA LISA COM BATENTE MADEIRA - 160 X 210 CM</t>
  </si>
  <si>
    <t>25.02.010</t>
  </si>
  <si>
    <t>PORTA DE ENTRADA DE ABRIR EM ALUMÍNIO COM VIDRO, LINHA COMERCIAL</t>
  </si>
  <si>
    <t>25.02.221</t>
  </si>
  <si>
    <t>PORTA DE CORRER EM ALUMÍNIO COM VENEZIANA DE VIDRO - COR BRANCA</t>
  </si>
  <si>
    <t>25.02.230</t>
  </si>
  <si>
    <t>PORTA EM ALUMÍNIO ANODIZADO DE ABRIR, SOB MEDIDA - BRONZE/PRETO</t>
  </si>
  <si>
    <t>24.02.054</t>
  </si>
  <si>
    <t>PORTA CORTA-FOGO CLASSE P.90, COM BARRA ANTIPÂNICO NUMA FACE E MAÇANETA NA OUTRA, COMPLETA</t>
  </si>
  <si>
    <t>28.01.171</t>
  </si>
  <si>
    <t>MOLA AÉREA HIDRÁULICA, PARA PORTA COM ESFORÇO DE 60 KG ATÉ 80 KG</t>
  </si>
  <si>
    <t>ALIZAR DE 5X1, 5CM PARA PORTA FIXADO COM PREGOS, PADRÃO MÉDIO - FORNECIMENTO E INSTALAÇÃO. AF_12/2019</t>
  </si>
  <si>
    <t>24.01.280</t>
  </si>
  <si>
    <t>CAIXÍLIO TIPO GUICHÊ EM CHAPA DE AÇO</t>
  </si>
  <si>
    <t>LUVA PARA ELETRODUTO, PVC, ROSCÁVEL, DN 32 MM (1"), PARA CIRCUITOS TERMINAIS, INSTALADA EM FORRO - FORNECIMENTO E INSTALAÇÃO. AF_03/2023</t>
  </si>
  <si>
    <t>CAIXA DE PASSAGEM CH.DE ACO C/TAMPA APARAF. 200x200x100 PISO FORNECIMENTO E INSTALAÇÃO</t>
  </si>
  <si>
    <t>CDHU</t>
  </si>
  <si>
    <t>Caixa de passagem em chapa, com tampa parafusada, 300 x 300 x 120 mm</t>
  </si>
  <si>
    <t xml:space="preserve">ESPELHO / PLACA CEGA 4" X 2", COM FURO PARA SAÍDA DE CABO DE SOM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</si>
  <si>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ESPELHO / PLACA CEGA 4" X 2", PARA INSTALACAO DE TOMADAS E INTERRUPTORES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</si>
  <si>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PLACA (ESPELHO) 1 POSTO HORIZONTAL 4x2  FORNECIMENTO E INSTALAÇÃO</t>
  </si>
  <si>
    <t>DISJUNTOR TRIPOLAR TIPO DIN, CORRENTE NOMINAL DE 63A - FORNECIMENTO E INSTALAÇÃO. AF_10/2020</t>
  </si>
  <si>
    <t>DISJUNTOR TERMOMAGNÉTICO TRIPOLAR , CORRENTE NOMINAL DE 125A - FORNECIMENTO E INSTALAÇÃO. AF_10/2020</t>
  </si>
  <si>
    <t>DISPOSITIVO DIF.RESIDUAL DR ALTA SENS. TETRAP.100A FORNECIMENTO E INSTALAÇÃO</t>
  </si>
  <si>
    <t>Dispositivo DR tetrapolar 100 A, tipo AC, 30MA FORNECIMENTO E INSTALAÇÃO</t>
  </si>
  <si>
    <t>38.21.920</t>
  </si>
  <si>
    <t>Eletrocalha perfurada galvanizada a fogo, 100 x 50 mm, com acessórios</t>
  </si>
  <si>
    <t>38.23.020</t>
  </si>
  <si>
    <t>Suporte para eletrocalha, galvanizado a fogo, 100x50 mm</t>
  </si>
  <si>
    <t>QUADRO DE DISTRIBUICAO, EM PVC, DE EMBUTIR, COM BARRAMENTO TERRA / NEUTRO, PARA 12 DISJUNTORES NEMA OU 16 DISJUNTORES DIN    100 A FORNECIMENTO E INSTALAÇÃO</t>
  </si>
  <si>
    <t>QUADRO DE DISTRIBUICAO, EM PVC, DE EMBUTIR, COM BARRAMENTO TERRA / NEUTRO, PARA 27 DISJUNTORES NEMA OU 36 DISJUNTORES DIN 100 A FORNECIMENTO E INSTALAÇÃO</t>
  </si>
  <si>
    <t>QUADRO DE DISTRIBUICAO COM BARRAMENTO TRIFASICO, DE EMBUTIR,  PARA 54 DISJUNTORES DIN, 100 A FORNECIMENTO E INSTALAÇÃO</t>
  </si>
  <si>
    <t>Porta lisa com batente madeira, 2 folhas - 140 x 210 cm</t>
  </si>
  <si>
    <t>23.09.630</t>
  </si>
  <si>
    <t>FIXAÇÃO (ENCUNHAMENTO) DE ALVENARIA DE VEDAÇÃO COM ARGAMASSA APLICADA COM BISNAGA. AF_03/2024</t>
  </si>
  <si>
    <t>ACOPLAMENTO RÍGIDO EM AÇO, CONEXÃO RANHURADA, DN 60, INSTALADO EM PRUMADAS - FORNECIMENTO E INSTALAÇÃO. AF_10/2020</t>
  </si>
  <si>
    <t>RALO HEMISFERICO 100mm EM FERRO FUNDIDO (RALO ABACAXI)</t>
  </si>
  <si>
    <t xml:space="preserve"> 15.2.20</t>
  </si>
  <si>
    <t xml:space="preserve"> 15.2.21</t>
  </si>
  <si>
    <t xml:space="preserve"> 15.2.22</t>
  </si>
  <si>
    <t xml:space="preserve"> 15.2.23</t>
  </si>
  <si>
    <t xml:space="preserve"> 15.2.24</t>
  </si>
  <si>
    <t xml:space="preserve"> 15.2.25</t>
  </si>
  <si>
    <t xml:space="preserve"> 15.2.26</t>
  </si>
  <si>
    <t xml:space="preserve"> 15.2.27</t>
  </si>
  <si>
    <t xml:space="preserve"> 15.2.28</t>
  </si>
  <si>
    <t xml:space="preserve"> 15.2.29</t>
  </si>
  <si>
    <t xml:space="preserve"> 15.2.30</t>
  </si>
  <si>
    <t xml:space="preserve"> 15.2.31</t>
  </si>
  <si>
    <t xml:space="preserve"> 15.2.32</t>
  </si>
  <si>
    <t xml:space="preserve"> 15.2.33</t>
  </si>
  <si>
    <t xml:space="preserve"> 15.2.34</t>
  </si>
  <si>
    <t xml:space="preserve"> 15.2.35</t>
  </si>
  <si>
    <t xml:space="preserve"> 15.2.36</t>
  </si>
  <si>
    <t xml:space="preserve"> 15.2.37</t>
  </si>
  <si>
    <t xml:space="preserve"> 15.2.38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</si>
  <si>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</si>
  <si>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</si>
  <si>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</si>
  <si>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</si>
  <si>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</si>
  <si>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</si>
  <si>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</si>
  <si>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</si>
  <si>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 xml:space="preserve"> 15.3.13</t>
  </si>
  <si>
    <t xml:space="preserve"> 15.3.14</t>
  </si>
  <si>
    <t xml:space="preserve"> 15.3.15</t>
  </si>
  <si>
    <t xml:space="preserve"> 15.3.16</t>
  </si>
  <si>
    <t xml:space="preserve"> 16.1.4</t>
  </si>
  <si>
    <t xml:space="preserve"> 16.1.5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</si>
  <si>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</si>
  <si>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</si>
  <si>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</si>
  <si>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</si>
  <si>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</si>
  <si>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</si>
  <si>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</si>
  <si>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</si>
  <si>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</si>
  <si>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</si>
  <si>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</si>
  <si>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</si>
  <si>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</si>
  <si>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</si>
  <si>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</si>
  <si>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</si>
  <si>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</si>
  <si>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</si>
  <si>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</si>
  <si>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</si>
  <si>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</si>
  <si>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</si>
  <si>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</si>
  <si>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</si>
  <si>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</si>
  <si>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</si>
  <si>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</si>
  <si>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</si>
  <si>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</si>
  <si>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</si>
  <si>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</si>
  <si>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</si>
  <si>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</si>
  <si>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</si>
  <si>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</si>
  <si>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</si>
  <si>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</si>
  <si>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</si>
  <si>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</si>
  <si>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</si>
  <si>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</si>
  <si>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</si>
  <si>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</si>
  <si>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</si>
  <si>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</si>
  <si>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</si>
  <si>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</si>
  <si>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</si>
  <si>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</si>
  <si>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</si>
  <si>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</si>
  <si>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</si>
  <si>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</si>
  <si>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</si>
  <si>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</si>
  <si>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</si>
  <si>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17.1.9</t>
  </si>
  <si>
    <t xml:space="preserve"> 17.1.10</t>
  </si>
  <si>
    <t>SINAPI (08/2024) - CPOS/CDHU (09/2024) - SBC (03/2024) - ORSE (09/2024) - EMOP (03/2024)</t>
  </si>
  <si>
    <t>19/12/2024</t>
  </si>
  <si>
    <t>34.05.290</t>
  </si>
  <si>
    <t>Portão de abrir em grade de aço galvanizado eletrofundida, malha 65 x 132 mm, e pintura eletrostática</t>
  </si>
  <si>
    <t>M2</t>
  </si>
  <si>
    <t>Alambrado em tela de aço galvanizado de 2´, montantes metálicos retos</t>
  </si>
  <si>
    <t>Broca em concreto armado diâmetro de 20 cm - completa</t>
  </si>
  <si>
    <t>Escavação manual em solo de 1ª e 2ª categoria em vala ou cava até 1,5 m</t>
  </si>
  <si>
    <t>M3</t>
  </si>
  <si>
    <t>Forma em madeira comum para fundação (com reaproveitamento 2x)</t>
  </si>
  <si>
    <t>Lastro de pedra britada</t>
  </si>
  <si>
    <t>Concreto usinado, fck = 25 MPa</t>
  </si>
  <si>
    <t>Lançamento e adensamento de concreto ou massa em fundação</t>
  </si>
  <si>
    <t>Armadura em barra de aço CA-50 (A ou B) fyk = 500 MPa</t>
  </si>
  <si>
    <t>Impermeabilização em pintura de asfalto oxidado com solventes orgânicos, sobre massa</t>
  </si>
  <si>
    <t>Reaterro manual apiloado sem controle de compactação</t>
  </si>
  <si>
    <t>14.01.060</t>
  </si>
  <si>
    <t>Alvenaria de embasamento em bloco de concreto de 19 x 19 x 39 cm - classe A</t>
  </si>
  <si>
    <t>Concreto preparado no local, fck = 20 MPa</t>
  </si>
  <si>
    <t>Lançamento e adensamento de concreto ou massa em estrutura</t>
  </si>
  <si>
    <t>Forma em madeira comum para estrutura (com reaproveitamento 2x)</t>
  </si>
  <si>
    <t>17.02.020</t>
  </si>
  <si>
    <t>Chapisco</t>
  </si>
  <si>
    <t>17.02.120</t>
  </si>
  <si>
    <t>Emboço comum</t>
  </si>
  <si>
    <t>17.02.220</t>
  </si>
  <si>
    <t>Reboco</t>
  </si>
  <si>
    <t>21.2</t>
  </si>
  <si>
    <t xml:space="preserve"> 21.3</t>
  </si>
  <si>
    <t xml:space="preserve"> 21.4</t>
  </si>
  <si>
    <t xml:space="preserve"> 21.5</t>
  </si>
  <si>
    <t xml:space="preserve"> 21.6</t>
  </si>
  <si>
    <t xml:space="preserve"> 21.7</t>
  </si>
  <si>
    <t xml:space="preserve"> 21.8</t>
  </si>
  <si>
    <t xml:space="preserve"> 21.9</t>
  </si>
  <si>
    <t xml:space="preserve"> 21.10</t>
  </si>
  <si>
    <t xml:space="preserve"> 21.11</t>
  </si>
  <si>
    <t xml:space="preserve"> 21.12</t>
  </si>
  <si>
    <t xml:space="preserve"> 21.13</t>
  </si>
  <si>
    <t xml:space="preserve"> 21.14</t>
  </si>
  <si>
    <t xml:space="preserve"> 21.15</t>
  </si>
  <si>
    <t xml:space="preserve"> 21.16</t>
  </si>
  <si>
    <t xml:space="preserve"> 21.17</t>
  </si>
  <si>
    <t xml:space="preserve"> 21.18</t>
  </si>
  <si>
    <t xml:space="preserve"> 21.19</t>
  </si>
  <si>
    <t xml:space="preserve"> 21.20</t>
  </si>
  <si>
    <t>34.05.270</t>
  </si>
  <si>
    <t>12.01.021</t>
  </si>
  <si>
    <t>06.02.020</t>
  </si>
  <si>
    <t>09.01.020</t>
  </si>
  <si>
    <t>11.18.040</t>
  </si>
  <si>
    <t>11.01.130</t>
  </si>
  <si>
    <t>11.16.040</t>
  </si>
  <si>
    <t>10.01.040</t>
  </si>
  <si>
    <t>32.16.010</t>
  </si>
  <si>
    <t>06.11.040</t>
  </si>
  <si>
    <t>11.03.090</t>
  </si>
  <si>
    <t>11.16.060</t>
  </si>
  <si>
    <t>09.01.030</t>
  </si>
  <si>
    <t>Alvenaria de bloco de concreto de vedação de 19 cm - classe C</t>
  </si>
  <si>
    <t>14.10.121</t>
  </si>
  <si>
    <t>CRONOGRAMA FÍSICO FINANCEIRO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</si>
  <si>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</si>
  <si>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</si>
  <si>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</si>
  <si>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</si>
  <si>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</si>
  <si>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</si>
  <si>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</si>
  <si>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</si>
  <si>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</si>
  <si>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</si>
  <si>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</si>
  <si>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</si>
  <si>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24.26.01</t>
  </si>
  <si>
    <t>23.23.563</t>
  </si>
  <si>
    <t>38.12.255</t>
  </si>
  <si>
    <t>21.12.020</t>
  </si>
  <si>
    <t>42.02.005</t>
  </si>
  <si>
    <t>21/03/2025</t>
  </si>
  <si>
    <t>SOMA DO MÊS</t>
  </si>
  <si>
    <t>ACUMULADO</t>
  </si>
  <si>
    <t>PLANILHA C/ DESONERAÇÃO</t>
  </si>
  <si>
    <t>CIDADE : SÃO JOÃO DAS MISSÕES - MG</t>
  </si>
  <si>
    <t>LOCAL : COMUNIDADE RANCHARIA</t>
  </si>
  <si>
    <t>GERRARD TAYON FERREIRA LOPO</t>
  </si>
  <si>
    <t>ENGENHEIRO CIVIL  289963</t>
  </si>
  <si>
    <t>Gerrard Tayon Ferreira Lopo</t>
  </si>
  <si>
    <t>Engenheiro Civil  - CREA MG 289963</t>
  </si>
  <si>
    <t>MG</t>
  </si>
  <si>
    <t>parei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</si>
</sst>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0000"/>
  </numFmts>
  <fonts count="35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name val="Arial"/>
      <family val="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27" fillId="0" borderId="26"/>
    <xf numFmtId="0" fontId="1" fillId="0" borderId="26"/>
    <xf numFmtId="0" fontId="31" fillId="0" borderId="26"/>
    <xf numFmtId="44" fontId="31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10" fontId="13" fillId="0" borderId="11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3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165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5" fontId="11" fillId="3" borderId="16" xfId="0" applyNumberFormat="1" applyFont="1" applyFill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67" fontId="7" fillId="3" borderId="17" xfId="0" applyNumberFormat="1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11" fillId="5" borderId="1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0" fontId="7" fillId="0" borderId="35" xfId="0" applyNumberFormat="1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0" fontId="11" fillId="5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12" xfId="0" applyFont="1" applyBorder="1"/>
    <xf numFmtId="0" fontId="19" fillId="7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right" vertical="top" wrapText="1"/>
    </xf>
    <xf numFmtId="0" fontId="19" fillId="7" borderId="20" xfId="0" applyFont="1" applyFill="1" applyBorder="1" applyAlignment="1">
      <alignment horizontal="center" vertical="top" wrapText="1"/>
    </xf>
    <xf numFmtId="4" fontId="19" fillId="7" borderId="20" xfId="0" applyNumberFormat="1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left" vertical="top" wrapText="1"/>
    </xf>
    <xf numFmtId="0" fontId="22" fillId="8" borderId="20" xfId="0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center" vertical="top" wrapText="1"/>
    </xf>
    <xf numFmtId="0" fontId="21" fillId="9" borderId="20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right" vertical="top" wrapText="1"/>
    </xf>
    <xf numFmtId="0" fontId="21" fillId="9" borderId="20" xfId="0" applyFont="1" applyFill="1" applyBorder="1" applyAlignment="1">
      <alignment horizontal="center" vertical="top" wrapText="1"/>
    </xf>
    <xf numFmtId="169" fontId="21" fillId="9" borderId="20" xfId="0" applyNumberFormat="1" applyFont="1" applyFill="1" applyBorder="1" applyAlignment="1">
      <alignment horizontal="right" vertical="top" wrapText="1"/>
    </xf>
    <xf numFmtId="4" fontId="21" fillId="9" borderId="20" xfId="0" applyNumberFormat="1" applyFont="1" applyFill="1" applyBorder="1" applyAlignment="1">
      <alignment horizontal="right" vertical="top" wrapText="1"/>
    </xf>
    <xf numFmtId="0" fontId="21" fillId="8" borderId="0" xfId="0" applyFont="1" applyFill="1" applyAlignment="1">
      <alignment horizontal="right" vertical="top" wrapText="1"/>
    </xf>
    <xf numFmtId="4" fontId="21" fillId="8" borderId="0" xfId="0" applyNumberFormat="1" applyFont="1" applyFill="1" applyAlignment="1">
      <alignment horizontal="right" vertical="top" wrapText="1"/>
    </xf>
    <xf numFmtId="0" fontId="19" fillId="7" borderId="31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right" vertical="top" wrapText="1"/>
    </xf>
    <xf numFmtId="0" fontId="21" fillId="10" borderId="20" xfId="0" applyFont="1" applyFill="1" applyBorder="1" applyAlignment="1">
      <alignment horizontal="center" vertical="top" wrapText="1"/>
    </xf>
    <xf numFmtId="169" fontId="21" fillId="10" borderId="20" xfId="0" applyNumberFormat="1" applyFont="1" applyFill="1" applyBorder="1" applyAlignment="1">
      <alignment horizontal="right" vertical="top" wrapText="1"/>
    </xf>
    <xf numFmtId="4" fontId="21" fillId="10" borderId="20" xfId="0" applyNumberFormat="1" applyFont="1" applyFill="1" applyBorder="1" applyAlignment="1">
      <alignment horizontal="right" vertical="top" wrapText="1"/>
    </xf>
    <xf numFmtId="0" fontId="9" fillId="0" borderId="2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7" xfId="1" applyFont="1" applyBorder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4" fontId="2" fillId="0" borderId="0" xfId="0" applyNumberFormat="1" applyFont="1"/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26" xfId="3" applyFont="1"/>
    <xf numFmtId="49" fontId="2" fillId="0" borderId="26" xfId="3" applyNumberFormat="1" applyFont="1"/>
    <xf numFmtId="0" fontId="1" fillId="0" borderId="26" xfId="3"/>
    <xf numFmtId="0" fontId="4" fillId="0" borderId="26" xfId="3" applyFont="1" applyAlignment="1">
      <alignment vertical="center"/>
    </xf>
    <xf numFmtId="165" fontId="4" fillId="0" borderId="26" xfId="3" applyNumberFormat="1" applyFont="1" applyAlignment="1">
      <alignment vertical="center"/>
    </xf>
    <xf numFmtId="0" fontId="2" fillId="0" borderId="26" xfId="3" applyFont="1" applyAlignment="1">
      <alignment vertical="center"/>
    </xf>
    <xf numFmtId="0" fontId="7" fillId="0" borderId="26" xfId="3" applyFont="1" applyAlignment="1">
      <alignment vertical="center"/>
    </xf>
    <xf numFmtId="0" fontId="7" fillId="0" borderId="26" xfId="3" applyFont="1" applyAlignment="1">
      <alignment horizontal="center" vertical="center"/>
    </xf>
    <xf numFmtId="165" fontId="7" fillId="0" borderId="26" xfId="3" applyNumberFormat="1" applyFont="1" applyAlignment="1">
      <alignment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left" vertical="center"/>
    </xf>
    <xf numFmtId="49" fontId="2" fillId="0" borderId="26" xfId="3" applyNumberFormat="1" applyFont="1" applyAlignment="1">
      <alignment horizontal="left" vertical="center"/>
    </xf>
    <xf numFmtId="0" fontId="2" fillId="0" borderId="26" xfId="3" applyFont="1" applyAlignment="1">
      <alignment horizontal="center" vertical="center"/>
    </xf>
    <xf numFmtId="10" fontId="2" fillId="0" borderId="26" xfId="3" applyNumberFormat="1" applyFont="1" applyAlignment="1">
      <alignment horizontal="left" vertical="center" wrapText="1"/>
    </xf>
    <xf numFmtId="49" fontId="2" fillId="0" borderId="27" xfId="3" applyNumberFormat="1" applyFont="1" applyBorder="1" applyAlignment="1">
      <alignment horizontal="left" vertical="center"/>
    </xf>
    <xf numFmtId="0" fontId="2" fillId="0" borderId="24" xfId="3" applyFont="1" applyBorder="1" applyAlignment="1">
      <alignment vertical="center"/>
    </xf>
    <xf numFmtId="0" fontId="9" fillId="0" borderId="24" xfId="3" applyFont="1" applyBorder="1" applyAlignment="1">
      <alignment horizontal="left" vertical="center"/>
    </xf>
    <xf numFmtId="0" fontId="9" fillId="0" borderId="26" xfId="3" applyFont="1" applyAlignment="1">
      <alignment horizontal="left" vertical="center"/>
    </xf>
    <xf numFmtId="49" fontId="9" fillId="0" borderId="27" xfId="3" applyNumberFormat="1" applyFont="1" applyBorder="1" applyAlignment="1">
      <alignment horizontal="left" vertical="center"/>
    </xf>
    <xf numFmtId="0" fontId="2" fillId="0" borderId="29" xfId="3" applyFont="1" applyBorder="1"/>
    <xf numFmtId="0" fontId="2" fillId="0" borderId="30" xfId="3" applyFont="1" applyBorder="1" applyAlignment="1">
      <alignment vertical="center"/>
    </xf>
    <xf numFmtId="0" fontId="28" fillId="0" borderId="24" xfId="3" applyFont="1" applyBorder="1" applyAlignment="1">
      <alignment horizontal="center" vertical="center"/>
    </xf>
    <xf numFmtId="0" fontId="2" fillId="0" borderId="27" xfId="3" applyFont="1" applyBorder="1"/>
    <xf numFmtId="0" fontId="12" fillId="0" borderId="26" xfId="3" applyFont="1" applyAlignment="1">
      <alignment vertical="center"/>
    </xf>
    <xf numFmtId="0" fontId="29" fillId="2" borderId="39" xfId="3" applyFont="1" applyFill="1" applyBorder="1" applyAlignment="1">
      <alignment horizontal="center" vertical="center" wrapText="1"/>
    </xf>
    <xf numFmtId="49" fontId="30" fillId="2" borderId="39" xfId="3" applyNumberFormat="1" applyFont="1" applyFill="1" applyBorder="1" applyAlignment="1">
      <alignment horizontal="center" vertical="center" wrapText="1"/>
    </xf>
    <xf numFmtId="0" fontId="3" fillId="0" borderId="26" xfId="3" applyFont="1" applyAlignment="1">
      <alignment horizontal="left" vertical="center"/>
    </xf>
    <xf numFmtId="0" fontId="12" fillId="0" borderId="26" xfId="3" applyFont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0" fontId="9" fillId="0" borderId="23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169" fontId="19" fillId="7" borderId="20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6" xfId="0" applyFont="1" applyBorder="1"/>
    <xf numFmtId="44" fontId="2" fillId="0" borderId="0" xfId="0" applyNumberFormat="1" applyFont="1"/>
    <xf numFmtId="43" fontId="7" fillId="3" borderId="17" xfId="0" applyNumberFormat="1" applyFont="1" applyFill="1" applyBorder="1" applyAlignment="1">
      <alignment horizontal="center" vertical="center"/>
    </xf>
    <xf numFmtId="43" fontId="11" fillId="3" borderId="17" xfId="0" applyNumberFormat="1" applyFont="1" applyFill="1" applyBorder="1" applyAlignment="1">
      <alignment horizontal="center" vertical="center"/>
    </xf>
    <xf numFmtId="44" fontId="33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25" fillId="6" borderId="20" xfId="0" applyFont="1" applyFill="1" applyBorder="1" applyAlignment="1">
      <alignment horizontal="left" vertical="top" wrapText="1"/>
    </xf>
    <xf numFmtId="0" fontId="25" fillId="6" borderId="20" xfId="0" applyFont="1" applyFill="1" applyBorder="1" applyAlignment="1">
      <alignment horizontal="right" vertical="top" wrapText="1"/>
    </xf>
    <xf numFmtId="4" fontId="25" fillId="6" borderId="20" xfId="0" applyNumberFormat="1" applyFont="1" applyFill="1" applyBorder="1" applyAlignment="1">
      <alignment horizontal="right" vertical="top" wrapText="1"/>
    </xf>
    <xf numFmtId="168" fontId="25" fillId="6" borderId="20" xfId="0" applyNumberFormat="1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center" vertical="top" wrapText="1"/>
    </xf>
    <xf numFmtId="4" fontId="26" fillId="7" borderId="20" xfId="0" applyNumberFormat="1" applyFont="1" applyFill="1" applyBorder="1" applyAlignment="1">
      <alignment horizontal="right" vertical="top" wrapText="1"/>
    </xf>
    <xf numFmtId="168" fontId="26" fillId="7" borderId="20" xfId="0" applyNumberFormat="1" applyFont="1" applyFill="1" applyBorder="1" applyAlignment="1">
      <alignment horizontal="right" vertical="top" wrapText="1"/>
    </xf>
    <xf numFmtId="0" fontId="22" fillId="8" borderId="0" xfId="0" applyFont="1" applyFill="1" applyAlignment="1">
      <alignment horizontal="right" vertical="top" wrapText="1"/>
    </xf>
    <xf numFmtId="0" fontId="27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10" fontId="7" fillId="0" borderId="46" xfId="0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3" fontId="25" fillId="6" borderId="20" xfId="1" applyFont="1" applyFill="1" applyBorder="1" applyAlignment="1">
      <alignment horizontal="right" vertical="top" wrapText="1"/>
    </xf>
    <xf numFmtId="43" fontId="26" fillId="7" borderId="20" xfId="1" applyFont="1" applyFill="1" applyBorder="1" applyAlignment="1">
      <alignment horizontal="right" vertical="top" wrapText="1"/>
    </xf>
    <xf numFmtId="43" fontId="22" fillId="8" borderId="0" xfId="1" applyFont="1" applyFill="1" applyAlignment="1">
      <alignment horizontal="right" vertical="top" wrapText="1"/>
    </xf>
    <xf numFmtId="43" fontId="27" fillId="8" borderId="0" xfId="1" applyFont="1" applyFill="1" applyAlignment="1">
      <alignment horizontal="center" vertical="top" wrapText="1"/>
    </xf>
    <xf numFmtId="4" fontId="26" fillId="7" borderId="20" xfId="0" quotePrefix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center"/>
    </xf>
    <xf numFmtId="168" fontId="8" fillId="0" borderId="20" xfId="0" applyNumberFormat="1" applyFont="1" applyBorder="1" applyAlignment="1">
      <alignment horizontal="right" vertical="top" wrapText="1"/>
    </xf>
    <xf numFmtId="44" fontId="22" fillId="8" borderId="0" xfId="5" applyFont="1" applyFill="1" applyAlignment="1">
      <alignment horizontal="right" vertical="top" wrapText="1"/>
    </xf>
    <xf numFmtId="0" fontId="9" fillId="0" borderId="22" xfId="0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0" fontId="11" fillId="0" borderId="1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44" fontId="33" fillId="0" borderId="47" xfId="0" applyNumberFormat="1" applyFont="1" applyBorder="1" applyAlignment="1">
      <alignment vertical="center"/>
    </xf>
    <xf numFmtId="0" fontId="2" fillId="0" borderId="47" xfId="0" applyFont="1" applyBorder="1"/>
    <xf numFmtId="0" fontId="7" fillId="0" borderId="47" xfId="0" applyFont="1" applyBorder="1" applyAlignment="1">
      <alignment vertical="center"/>
    </xf>
    <xf numFmtId="44" fontId="33" fillId="11" borderId="47" xfId="0" applyNumberFormat="1" applyFont="1" applyFill="1" applyBorder="1" applyAlignment="1">
      <alignment vertical="center"/>
    </xf>
    <xf numFmtId="0" fontId="2" fillId="11" borderId="47" xfId="0" applyFont="1" applyFill="1" applyBorder="1"/>
    <xf numFmtId="0" fontId="7" fillId="11" borderId="47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9" fontId="9" fillId="0" borderId="27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" fontId="2" fillId="11" borderId="47" xfId="0" applyNumberFormat="1" applyFont="1" applyFill="1" applyBorder="1" applyAlignment="1">
      <alignment vertical="center"/>
    </xf>
    <xf numFmtId="44" fontId="2" fillId="11" borderId="47" xfId="0" applyNumberFormat="1" applyFont="1" applyFill="1" applyBorder="1" applyAlignment="1">
      <alignment vertical="center"/>
    </xf>
    <xf numFmtId="44" fontId="2" fillId="11" borderId="47" xfId="0" applyNumberFormat="1" applyFont="1" applyFill="1" applyBorder="1"/>
    <xf numFmtId="44" fontId="7" fillId="11" borderId="47" xfId="0" applyNumberFormat="1" applyFont="1" applyFill="1" applyBorder="1" applyAlignment="1">
      <alignment vertical="center"/>
    </xf>
    <xf numFmtId="166" fontId="7" fillId="11" borderId="47" xfId="0" applyNumberFormat="1" applyFont="1" applyFill="1" applyBorder="1" applyAlignment="1">
      <alignment vertical="center"/>
    </xf>
    <xf numFmtId="0" fontId="2" fillId="0" borderId="57" xfId="0" applyFont="1" applyBorder="1" applyAlignment="1">
      <alignment vertical="center"/>
    </xf>
    <xf numFmtId="44" fontId="7" fillId="0" borderId="57" xfId="0" applyNumberFormat="1" applyFont="1" applyBorder="1" applyAlignment="1">
      <alignment vertical="center"/>
    </xf>
    <xf numFmtId="166" fontId="2" fillId="0" borderId="57" xfId="0" applyNumberFormat="1" applyFont="1" applyBorder="1"/>
    <xf numFmtId="44" fontId="2" fillId="0" borderId="57" xfId="0" applyNumberFormat="1" applyFont="1" applyBorder="1"/>
    <xf numFmtId="0" fontId="2" fillId="0" borderId="57" xfId="0" applyFont="1" applyBorder="1"/>
    <xf numFmtId="0" fontId="7" fillId="0" borderId="57" xfId="0" applyFont="1" applyBorder="1" applyAlignment="1">
      <alignment vertical="center"/>
    </xf>
    <xf numFmtId="166" fontId="14" fillId="2" borderId="39" xfId="0" applyNumberFormat="1" applyFont="1" applyFill="1" applyBorder="1" applyAlignment="1">
      <alignment horizontal="center" vertical="center"/>
    </xf>
    <xf numFmtId="10" fontId="14" fillId="2" borderId="21" xfId="0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6" xfId="0" applyFont="1" applyBorder="1"/>
    <xf numFmtId="0" fontId="0" fillId="0" borderId="57" xfId="0" applyBorder="1"/>
    <xf numFmtId="0" fontId="7" fillId="0" borderId="50" xfId="0" applyFont="1" applyBorder="1" applyAlignment="1">
      <alignment vertical="center"/>
    </xf>
    <xf numFmtId="166" fontId="7" fillId="11" borderId="56" xfId="0" applyNumberFormat="1" applyFont="1" applyFill="1" applyBorder="1" applyAlignment="1">
      <alignment vertical="center"/>
    </xf>
    <xf numFmtId="44" fontId="33" fillId="0" borderId="56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44" fontId="7" fillId="0" borderId="26" xfId="0" applyNumberFormat="1" applyFont="1" applyBorder="1" applyAlignment="1">
      <alignment vertical="center"/>
    </xf>
    <xf numFmtId="166" fontId="2" fillId="0" borderId="26" xfId="0" applyNumberFormat="1" applyFont="1" applyBorder="1"/>
    <xf numFmtId="44" fontId="2" fillId="0" borderId="26" xfId="0" applyNumberFormat="1" applyFont="1" applyBorder="1"/>
    <xf numFmtId="0" fontId="7" fillId="0" borderId="26" xfId="0" applyFont="1" applyBorder="1" applyAlignment="1">
      <alignment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44" fontId="2" fillId="0" borderId="57" xfId="0" applyNumberFormat="1" applyFont="1" applyBorder="1" applyAlignment="1">
      <alignment vertical="center"/>
    </xf>
    <xf numFmtId="166" fontId="7" fillId="0" borderId="57" xfId="0" applyNumberFormat="1" applyFont="1" applyBorder="1" applyAlignment="1">
      <alignment vertical="center"/>
    </xf>
    <xf numFmtId="0" fontId="11" fillId="12" borderId="11" xfId="0" applyFont="1" applyFill="1" applyBorder="1" applyAlignment="1">
      <alignment horizontal="left" vertical="center" wrapText="1"/>
    </xf>
    <xf numFmtId="166" fontId="7" fillId="12" borderId="12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2" fillId="0" borderId="24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9" fontId="9" fillId="0" borderId="28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49" fontId="11" fillId="0" borderId="63" xfId="0" applyNumberFormat="1" applyFont="1" applyBorder="1" applyAlignment="1">
      <alignment horizontal="center" vertical="center"/>
    </xf>
    <xf numFmtId="0" fontId="0" fillId="0" borderId="26" xfId="0" applyBorder="1"/>
    <xf numFmtId="0" fontId="6" fillId="0" borderId="64" xfId="0" applyFont="1" applyBorder="1"/>
    <xf numFmtId="49" fontId="7" fillId="0" borderId="63" xfId="0" applyNumberFormat="1" applyFont="1" applyBorder="1" applyAlignment="1">
      <alignment horizontal="center" vertical="center"/>
    </xf>
    <xf numFmtId="0" fontId="22" fillId="8" borderId="0" xfId="0" applyFont="1" applyFill="1" applyAlignment="1">
      <alignment horizontal="right" vertical="top" wrapText="1"/>
    </xf>
    <xf numFmtId="0" fontId="22" fillId="8" borderId="0" xfId="0" applyFont="1" applyFill="1" applyAlignment="1">
      <alignment horizontal="left" vertical="top" wrapText="1"/>
    </xf>
    <xf numFmtId="4" fontId="22" fillId="8" borderId="0" xfId="0" applyNumberFormat="1" applyFont="1" applyFill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8" borderId="0" xfId="0" applyFont="1" applyFill="1" applyAlignment="1">
      <alignment horizontal="right" vertical="top" wrapText="1"/>
    </xf>
    <xf numFmtId="0" fontId="22" fillId="8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0" fontId="7" fillId="0" borderId="1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2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6" fillId="0" borderId="14" xfId="0" applyFont="1" applyBorder="1"/>
    <xf numFmtId="0" fontId="6" fillId="0" borderId="22" xfId="0" applyFont="1" applyBorder="1"/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0" fontId="12" fillId="0" borderId="13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6" fillId="0" borderId="24" xfId="3" applyFont="1" applyBorder="1"/>
    <xf numFmtId="0" fontId="6" fillId="0" borderId="26" xfId="3" applyFont="1"/>
    <xf numFmtId="0" fontId="1" fillId="0" borderId="26" xfId="3"/>
    <xf numFmtId="0" fontId="6" fillId="0" borderId="27" xfId="3" applyFont="1" applyBorder="1"/>
    <xf numFmtId="0" fontId="6" fillId="0" borderId="28" xfId="3" applyFont="1" applyBorder="1"/>
    <xf numFmtId="0" fontId="6" fillId="0" borderId="29" xfId="3" applyFont="1" applyBorder="1"/>
    <xf numFmtId="0" fontId="6" fillId="0" borderId="30" xfId="3" applyFont="1" applyBorder="1"/>
    <xf numFmtId="0" fontId="2" fillId="0" borderId="24" xfId="3" applyFont="1" applyBorder="1" applyAlignment="1">
      <alignment horizontal="left" vertical="center" wrapText="1"/>
    </xf>
    <xf numFmtId="0" fontId="2" fillId="0" borderId="26" xfId="3" applyFont="1" applyAlignment="1">
      <alignment horizontal="left" vertical="center" wrapText="1"/>
    </xf>
    <xf numFmtId="0" fontId="2" fillId="0" borderId="28" xfId="3" applyFont="1" applyBorder="1" applyAlignment="1">
      <alignment horizontal="left" vertical="center" wrapText="1"/>
    </xf>
    <xf numFmtId="0" fontId="2" fillId="0" borderId="29" xfId="3" applyFont="1" applyBorder="1" applyAlignment="1">
      <alignment horizontal="left" vertical="center" wrapText="1"/>
    </xf>
    <xf numFmtId="0" fontId="30" fillId="2" borderId="11" xfId="3" applyFont="1" applyFill="1" applyBorder="1" applyAlignment="1">
      <alignment horizontal="center" vertical="center" wrapText="1"/>
    </xf>
    <xf numFmtId="0" fontId="30" fillId="2" borderId="14" xfId="3" applyFont="1" applyFill="1" applyBorder="1" applyAlignment="1">
      <alignment horizontal="center" vertical="center" wrapText="1"/>
    </xf>
    <xf numFmtId="0" fontId="30" fillId="2" borderId="13" xfId="3" applyFont="1" applyFill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176214</xdr:colOff>
      <xdr:row>2</xdr:row>
      <xdr:rowOff>166687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99F2F72F-4D18-4BC4-8AF3-C07419EEC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45839" y="59531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9B6FB71F-1EF8-4F21-B0BB-06ED6481FE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29527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1917661</xdr:colOff>
      <xdr:row>2</xdr:row>
      <xdr:rowOff>62592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EBF259E1-EFE5-4EBE-B4E6-BE3191806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161" y="47407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E456810E-668D-46C3-8B9C-60B645481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94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\Desktop\UBS%20NOVA%20-%20CH&#193;CARA\PLANILHAS%20NOVAS\MS_UBS1_PLANILHA%20DE%20OR&#199;AMENTO_COM%20DESONERA&#199;&#195;O_SP%20%20%20%20%20%20CALCUL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RESUMO"/>
      <sheetName val="ORC. SINTÉTICO"/>
      <sheetName val="CPUS"/>
      <sheetName val="BDI DESONERADO"/>
      <sheetName val="ENCARGOS SOCIAIS"/>
      <sheetName val="JUSTIFICATIVAS CPUS"/>
      <sheetName val="Planilha1"/>
    </sheetNames>
    <sheetDataSet>
      <sheetData sheetId="0">
        <row r="12">
          <cell r="B12" t="str">
            <v>SINAPI (11/2024) - CPOS/CDHU (01/2025) - SBC (01/2025) - ORSE (10/2024) - IOPES (08/2024) - EMOP (11/2024) - SEINFRA (028)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1000"/>
  <sheetViews>
    <sheetView showGridLines="0" topLeftCell="A13" zoomScale="70" zoomScaleNormal="70" workbookViewId="0">
      <selection activeCell="C18" sqref="C18"/>
    </sheetView>
  </sheetViews>
  <sheetFormatPr defaultColWidth="12.59765625" defaultRowHeight="15" customHeight="1" x14ac:dyDescent="0.25"/>
  <cols>
    <col min="1" max="1" width="3.19921875" customWidth="1"/>
    <col min="2" max="4" width="40" customWidth="1"/>
    <col min="5" max="5" width="44.3984375" customWidth="1"/>
    <col min="6" max="6" width="3.19921875" customWidth="1"/>
    <col min="7" max="11" width="7.59765625" customWidth="1"/>
    <col min="12" max="12" width="9.09765625" bestFit="1" customWidth="1"/>
    <col min="13" max="22" width="7.59765625" customWidth="1"/>
  </cols>
  <sheetData>
    <row r="1" spans="1:26" ht="15" customHeight="1" x14ac:dyDescent="0.25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5">
      <c r="A2" s="3"/>
      <c r="B2" s="346" t="s">
        <v>0</v>
      </c>
      <c r="C2" s="347"/>
      <c r="D2" s="347"/>
      <c r="E2" s="3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5">
      <c r="A3" s="3"/>
      <c r="B3" s="349"/>
      <c r="C3" s="350"/>
      <c r="D3" s="350"/>
      <c r="E3" s="3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5">
      <c r="A4" s="3"/>
      <c r="B4" s="349"/>
      <c r="C4" s="350"/>
      <c r="D4" s="350"/>
      <c r="E4" s="3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5">
      <c r="A5" s="3"/>
      <c r="B5" s="349"/>
      <c r="C5" s="350"/>
      <c r="D5" s="350"/>
      <c r="E5" s="3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5">
      <c r="A6" s="3"/>
      <c r="B6" s="352"/>
      <c r="C6" s="353"/>
      <c r="D6" s="353"/>
      <c r="E6" s="3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5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60" t="s">
        <v>1658</v>
      </c>
      <c r="C12" s="9"/>
      <c r="D12" s="9"/>
      <c r="E12" s="10"/>
      <c r="F12" s="1"/>
      <c r="G12" s="254"/>
      <c r="H12" s="254"/>
      <c r="I12" s="254"/>
      <c r="J12" s="254"/>
      <c r="K12" s="2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"/>
      <c r="B15" s="19" t="s">
        <v>3</v>
      </c>
      <c r="C15" s="253" t="s">
        <v>951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22"/>
      <c r="B16" s="19" t="s">
        <v>4</v>
      </c>
      <c r="C16" s="355" t="s">
        <v>1273</v>
      </c>
      <c r="D16" s="356"/>
      <c r="E16" s="357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22"/>
      <c r="B17" s="19" t="s">
        <v>5</v>
      </c>
      <c r="C17" s="24" t="s">
        <v>1747</v>
      </c>
      <c r="D17" s="20"/>
      <c r="E17" s="21"/>
      <c r="F17" s="22"/>
      <c r="G17" s="1"/>
      <c r="H17" s="1"/>
      <c r="I17" s="1"/>
      <c r="J17" s="212"/>
      <c r="K17" s="212"/>
      <c r="L17" s="212"/>
      <c r="M17" s="212"/>
      <c r="N17" s="212"/>
      <c r="O17" s="212"/>
      <c r="P17" s="212"/>
      <c r="Q17" s="212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1"/>
      <c r="B18" s="19" t="s">
        <v>6</v>
      </c>
      <c r="C18" s="25">
        <v>45536</v>
      </c>
      <c r="D18" s="26"/>
      <c r="E18" s="27"/>
      <c r="F18" s="1"/>
      <c r="G18" s="1"/>
      <c r="H18" s="1"/>
      <c r="I18" s="1"/>
      <c r="J18" s="212"/>
      <c r="K18" s="212"/>
      <c r="L18" s="212"/>
      <c r="M18" s="212"/>
      <c r="N18" s="212"/>
      <c r="O18" s="212"/>
      <c r="P18" s="212"/>
      <c r="Q18" s="212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"/>
      <c r="B19" s="19" t="s">
        <v>7</v>
      </c>
      <c r="C19" s="28">
        <f>'BDI '!E36</f>
        <v>0.24880703423586414</v>
      </c>
      <c r="D19" s="26"/>
      <c r="E19" s="27"/>
      <c r="F19" s="1"/>
      <c r="G19" s="1"/>
      <c r="H19" s="1"/>
      <c r="I19" s="1"/>
      <c r="J19" s="212"/>
      <c r="K19" s="212"/>
      <c r="L19" s="212"/>
      <c r="M19" s="212"/>
      <c r="N19" s="212"/>
      <c r="O19" s="212"/>
      <c r="P19" s="212"/>
      <c r="Q19" s="212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19" t="s">
        <v>8</v>
      </c>
      <c r="C20" s="28">
        <f>'BDI '!F36</f>
        <v>0.15599027382875574</v>
      </c>
      <c r="D20" s="26"/>
      <c r="E20" s="27"/>
      <c r="F20" s="1"/>
      <c r="G20" s="1"/>
      <c r="H20" s="1"/>
      <c r="I20" s="1"/>
      <c r="J20" s="212"/>
      <c r="K20" s="212"/>
      <c r="L20" s="212"/>
      <c r="M20" s="212"/>
      <c r="N20" s="212"/>
      <c r="O20" s="212"/>
      <c r="P20" s="212"/>
      <c r="Q20" s="212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"/>
      <c r="B21" s="19" t="s">
        <v>9</v>
      </c>
      <c r="C21" s="29">
        <v>389.78</v>
      </c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"/>
      <c r="B22" s="19" t="s">
        <v>10</v>
      </c>
      <c r="C22" s="217" t="s">
        <v>1659</v>
      </c>
      <c r="D22" s="26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1"/>
      <c r="B23" s="19" t="s">
        <v>11</v>
      </c>
      <c r="C23" s="30" t="s">
        <v>1274</v>
      </c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5">
      <c r="A24" s="1"/>
      <c r="B24" s="31" t="s">
        <v>12</v>
      </c>
      <c r="C24" s="30" t="s">
        <v>1745</v>
      </c>
      <c r="D24" s="26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1"/>
      <c r="B25" s="19" t="s">
        <v>13</v>
      </c>
      <c r="C25" s="30" t="s">
        <v>1746</v>
      </c>
      <c r="D25" s="26"/>
      <c r="E25" s="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2"/>
      <c r="C26" s="33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1"/>
      <c r="B27" s="34"/>
      <c r="C27" s="35"/>
      <c r="D27" s="36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1"/>
      <c r="B28" s="38"/>
      <c r="C28" s="39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1"/>
      <c r="B29" s="38"/>
      <c r="C29" s="39"/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1"/>
      <c r="B30" s="38"/>
      <c r="C30" s="39"/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"/>
      <c r="B31" s="358" t="s">
        <v>14</v>
      </c>
      <c r="C31" s="350"/>
      <c r="D31" s="350"/>
      <c r="E31" s="35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359" t="str">
        <f t="shared" ref="B32:B33" si="0">C24</f>
        <v>Gerrard Tayon Ferreira Lopo</v>
      </c>
      <c r="C32" s="350"/>
      <c r="D32" s="350"/>
      <c r="E32" s="35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360" t="str">
        <f t="shared" si="0"/>
        <v>Engenheiro Civil  - CREA MG 289963</v>
      </c>
      <c r="C33" s="350"/>
      <c r="D33" s="350"/>
      <c r="E33" s="35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41"/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  <pageSetUpPr fitToPage="1"/>
  </sheetPr>
  <dimension ref="A1:Y999"/>
  <sheetViews>
    <sheetView showGridLines="0" view="pageBreakPreview" topLeftCell="B1" zoomScale="60" zoomScaleNormal="60" workbookViewId="0">
      <selection activeCell="G28" sqref="G28"/>
    </sheetView>
  </sheetViews>
  <sheetFormatPr defaultColWidth="12.59765625" defaultRowHeight="15" customHeight="1" x14ac:dyDescent="0.25"/>
  <cols>
    <col min="1" max="1" width="3.19921875" customWidth="1"/>
    <col min="2" max="2" width="13.19921875" customWidth="1"/>
    <col min="3" max="3" width="40.3984375" customWidth="1"/>
    <col min="4" max="4" width="24.59765625" customWidth="1"/>
    <col min="5" max="5" width="28.69921875" customWidth="1"/>
    <col min="6" max="6" width="18.19921875" customWidth="1"/>
    <col min="7" max="7" width="17.8984375" customWidth="1"/>
    <col min="8" max="8" width="18.19921875" customWidth="1"/>
    <col min="9" max="9" width="15.69921875" customWidth="1"/>
    <col min="10" max="10" width="18.5" customWidth="1"/>
    <col min="11" max="11" width="17.69921875" customWidth="1"/>
    <col min="12" max="13" width="19.5" customWidth="1"/>
    <col min="14" max="14" width="19.09765625" customWidth="1"/>
    <col min="15" max="15" width="19.5" customWidth="1"/>
    <col min="16" max="16" width="23.19921875" customWidth="1"/>
    <col min="17" max="17" width="20.09765625" bestFit="1" customWidth="1"/>
    <col min="18" max="18" width="20.19921875" customWidth="1"/>
  </cols>
  <sheetData>
    <row r="1" spans="1:25" ht="13.8" x14ac:dyDescent="0.25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8.75" customHeight="1" x14ac:dyDescent="0.25">
      <c r="A2" s="46"/>
      <c r="B2" s="372" t="s">
        <v>1719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4"/>
      <c r="S2" s="46"/>
      <c r="T2" s="46"/>
      <c r="U2" s="44"/>
      <c r="V2" s="44"/>
      <c r="W2" s="44"/>
      <c r="X2" s="44"/>
      <c r="Y2" s="1"/>
    </row>
    <row r="3" spans="1:25" ht="18.75" customHeight="1" x14ac:dyDescent="0.25">
      <c r="A3" s="46"/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7"/>
      <c r="S3" s="46"/>
      <c r="T3" s="46"/>
      <c r="U3" s="44"/>
      <c r="V3" s="44"/>
      <c r="W3" s="44"/>
      <c r="X3" s="44"/>
      <c r="Y3" s="1"/>
    </row>
    <row r="4" spans="1:25" ht="18.75" customHeight="1" x14ac:dyDescent="0.25">
      <c r="A4" s="46"/>
      <c r="B4" s="375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7"/>
      <c r="S4" s="46"/>
      <c r="T4" s="46"/>
      <c r="U4" s="44"/>
      <c r="V4" s="44"/>
      <c r="W4" s="44"/>
      <c r="X4" s="44"/>
      <c r="Y4" s="1"/>
    </row>
    <row r="5" spans="1:25" ht="18.75" customHeight="1" x14ac:dyDescent="0.25">
      <c r="A5" s="46"/>
      <c r="B5" s="37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7"/>
      <c r="S5" s="46"/>
      <c r="T5" s="46"/>
      <c r="U5" s="44"/>
      <c r="V5" s="44"/>
      <c r="W5" s="44"/>
      <c r="X5" s="44"/>
      <c r="Y5" s="1"/>
    </row>
    <row r="6" spans="1:25" ht="18.75" customHeight="1" x14ac:dyDescent="0.25">
      <c r="A6" s="46"/>
      <c r="B6" s="378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80"/>
      <c r="S6" s="46"/>
      <c r="T6" s="46"/>
      <c r="U6" s="44"/>
      <c r="V6" s="44"/>
      <c r="W6" s="44"/>
      <c r="X6" s="44"/>
      <c r="Y6" s="1"/>
    </row>
    <row r="7" spans="1:25" ht="15" customHeight="1" thickBot="1" x14ac:dyDescent="0.3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1"/>
    </row>
    <row r="8" spans="1:25" ht="15" customHeight="1" x14ac:dyDescent="0.25">
      <c r="A8" s="48"/>
      <c r="B8" s="50" t="str">
        <f>'DADOS GERAIS'!B8</f>
        <v>Secretaria de Atenção Especializada à Saúde</v>
      </c>
      <c r="C8" s="51"/>
      <c r="D8" s="52" t="s">
        <v>16</v>
      </c>
      <c r="E8" s="52" t="s">
        <v>17</v>
      </c>
      <c r="F8" s="286" t="str">
        <f>'DADOS GERAIS'!$B$22</f>
        <v>Data:</v>
      </c>
      <c r="G8" s="381" t="s">
        <v>1720</v>
      </c>
      <c r="H8" s="381" t="s">
        <v>1721</v>
      </c>
      <c r="I8" s="381" t="s">
        <v>1722</v>
      </c>
      <c r="J8" s="381" t="s">
        <v>1723</v>
      </c>
      <c r="K8" s="381" t="s">
        <v>1724</v>
      </c>
      <c r="L8" s="381" t="s">
        <v>1725</v>
      </c>
      <c r="M8" s="381" t="s">
        <v>1726</v>
      </c>
      <c r="N8" s="381" t="s">
        <v>1727</v>
      </c>
      <c r="O8" s="381" t="s">
        <v>1728</v>
      </c>
      <c r="P8" s="381" t="s">
        <v>1729</v>
      </c>
      <c r="Q8" s="381" t="s">
        <v>1730</v>
      </c>
      <c r="R8" s="381" t="s">
        <v>1731</v>
      </c>
      <c r="S8" s="48"/>
      <c r="T8" s="48"/>
      <c r="U8" s="48"/>
      <c r="V8" s="48"/>
      <c r="W8" s="48"/>
      <c r="X8" s="48"/>
      <c r="Y8" s="1"/>
    </row>
    <row r="9" spans="1:25" ht="15" customHeight="1" x14ac:dyDescent="0.25">
      <c r="A9" s="48"/>
      <c r="B9" s="54" t="str">
        <f>'DADOS GERAIS'!B9</f>
        <v>Unidade Básica de Saúde Porte 1 - Área Construída: 389,78m²</v>
      </c>
      <c r="C9" s="344"/>
      <c r="D9" s="56">
        <f>'DADOS GERAIS'!C19</f>
        <v>0.24880703423586414</v>
      </c>
      <c r="E9" s="56">
        <f>'ENCARGOS SOCIAIS'!F56</f>
        <v>0.71460000000000001</v>
      </c>
      <c r="F9" s="287" t="str">
        <f>'DADOS GERAIS'!$C$22</f>
        <v>19/12/2024</v>
      </c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48"/>
      <c r="T9" s="48"/>
      <c r="U9" s="48"/>
      <c r="V9" s="48"/>
      <c r="W9" s="48"/>
      <c r="X9" s="48"/>
      <c r="Y9" s="1"/>
    </row>
    <row r="10" spans="1:25" ht="15" customHeight="1" x14ac:dyDescent="0.25">
      <c r="A10" s="48"/>
      <c r="B10" s="343"/>
      <c r="C10" s="55"/>
      <c r="D10" s="56"/>
      <c r="E10" s="56"/>
      <c r="F10" s="287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48"/>
      <c r="T10" s="48"/>
      <c r="U10" s="48"/>
      <c r="V10" s="48"/>
      <c r="W10" s="48"/>
      <c r="X10" s="48"/>
      <c r="Y10" s="1"/>
    </row>
    <row r="11" spans="1:25" ht="15" customHeight="1" x14ac:dyDescent="0.25">
      <c r="A11" s="48"/>
      <c r="B11" s="58"/>
      <c r="C11" s="55"/>
      <c r="D11" s="1"/>
      <c r="E11" s="1"/>
      <c r="F11" s="288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48"/>
      <c r="T11" s="48"/>
      <c r="U11" s="48"/>
      <c r="V11" s="48"/>
      <c r="W11" s="48"/>
      <c r="X11" s="48"/>
      <c r="Y11" s="1"/>
    </row>
    <row r="12" spans="1:25" ht="15" customHeight="1" x14ac:dyDescent="0.25">
      <c r="A12" s="48"/>
      <c r="B12" s="342"/>
      <c r="C12" s="384" t="s">
        <v>1741</v>
      </c>
      <c r="D12" s="385"/>
      <c r="E12" s="385"/>
      <c r="F12" s="385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48"/>
      <c r="T12" s="48"/>
      <c r="U12" s="48"/>
      <c r="V12" s="48"/>
      <c r="W12" s="48"/>
      <c r="X12" s="48"/>
      <c r="Y12" s="1"/>
    </row>
    <row r="13" spans="1:25" ht="15" customHeight="1" x14ac:dyDescent="0.25">
      <c r="A13" s="48"/>
      <c r="B13" s="342"/>
      <c r="C13" s="361" t="s">
        <v>1742</v>
      </c>
      <c r="D13" s="362"/>
      <c r="E13" s="362"/>
      <c r="F13" s="36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48"/>
      <c r="T13" s="48"/>
      <c r="U13" s="48"/>
      <c r="V13" s="48"/>
      <c r="W13" s="48"/>
      <c r="X13" s="48"/>
      <c r="Y13" s="1"/>
    </row>
    <row r="14" spans="1:25" ht="15" customHeight="1" x14ac:dyDescent="0.25">
      <c r="A14" s="48"/>
      <c r="B14" s="342"/>
      <c r="C14" s="361"/>
      <c r="D14" s="362"/>
      <c r="E14" s="362"/>
      <c r="F14" s="36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48"/>
      <c r="T14" s="48"/>
      <c r="U14" s="48"/>
      <c r="V14" s="48"/>
      <c r="W14" s="48"/>
      <c r="X14" s="48"/>
      <c r="Y14" s="1"/>
    </row>
    <row r="15" spans="1:25" ht="15" customHeight="1" x14ac:dyDescent="0.25">
      <c r="A15" s="48"/>
      <c r="B15" s="342"/>
      <c r="C15" s="361"/>
      <c r="D15" s="362"/>
      <c r="E15" s="362"/>
      <c r="F15" s="36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48"/>
      <c r="T15" s="48"/>
      <c r="U15" s="48"/>
      <c r="V15" s="48"/>
      <c r="W15" s="48"/>
      <c r="X15" s="48"/>
      <c r="Y15" s="1"/>
    </row>
    <row r="16" spans="1:25" ht="15" customHeight="1" x14ac:dyDescent="0.25">
      <c r="A16" s="48"/>
      <c r="B16" s="342"/>
      <c r="C16" s="363" t="s">
        <v>1740</v>
      </c>
      <c r="D16" s="364"/>
      <c r="E16" s="364"/>
      <c r="F16" s="364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48"/>
      <c r="T16" s="48"/>
      <c r="U16" s="48"/>
      <c r="V16" s="48"/>
      <c r="W16" s="48"/>
      <c r="X16" s="48"/>
      <c r="Y16" s="1"/>
    </row>
    <row r="17" spans="1:25" ht="15" customHeight="1" x14ac:dyDescent="0.25">
      <c r="A17" s="48"/>
      <c r="B17" s="342"/>
      <c r="C17" s="300"/>
      <c r="D17" s="300"/>
      <c r="E17" s="300"/>
      <c r="F17" s="300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48"/>
      <c r="T17" s="48"/>
      <c r="U17" s="48"/>
      <c r="V17" s="48"/>
      <c r="W17" s="48"/>
      <c r="X17" s="48"/>
      <c r="Y17" s="1"/>
    </row>
    <row r="18" spans="1:25" ht="15" customHeight="1" thickBot="1" x14ac:dyDescent="0.3">
      <c r="A18" s="48"/>
      <c r="B18" s="60" t="str">
        <f>'DADOS GERAIS'!B11</f>
        <v>Bancos:</v>
      </c>
      <c r="C18" s="344"/>
      <c r="D18" s="61" t="s">
        <v>18</v>
      </c>
      <c r="E18" s="61" t="s">
        <v>19</v>
      </c>
      <c r="F18" s="345" t="str">
        <f>'DADOS GERAIS'!$B$23</f>
        <v>Revisão: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48"/>
      <c r="T18" s="48"/>
      <c r="U18" s="48"/>
      <c r="V18" s="48"/>
      <c r="W18" s="48"/>
      <c r="X18" s="48"/>
      <c r="Y18" s="1"/>
    </row>
    <row r="19" spans="1:25" ht="15" customHeight="1" x14ac:dyDescent="0.25">
      <c r="A19" s="48"/>
      <c r="B19" s="65"/>
      <c r="C19" s="4"/>
      <c r="D19" s="4"/>
      <c r="E19" s="4"/>
      <c r="F19" s="4"/>
      <c r="G19" s="48"/>
      <c r="H19" s="1"/>
      <c r="I19" s="1"/>
      <c r="J19" s="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1"/>
    </row>
    <row r="20" spans="1:25" ht="15" customHeight="1" x14ac:dyDescent="0.25">
      <c r="A20" s="66"/>
      <c r="B20" s="67" t="s">
        <v>20</v>
      </c>
      <c r="C20" s="68" t="s">
        <v>21</v>
      </c>
      <c r="D20" s="69"/>
      <c r="E20" s="69" t="s">
        <v>22</v>
      </c>
      <c r="F20" s="70" t="s">
        <v>23</v>
      </c>
      <c r="G20" s="44"/>
      <c r="H20" s="71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15" customHeight="1" x14ac:dyDescent="0.25">
      <c r="A21" s="66"/>
      <c r="B21" s="72"/>
      <c r="C21" s="73"/>
      <c r="D21" s="73"/>
      <c r="E21" s="72"/>
      <c r="F21" s="72"/>
      <c r="G21" s="44"/>
      <c r="H21" s="48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" customHeight="1" x14ac:dyDescent="0.25">
      <c r="A22" s="48"/>
      <c r="B22" s="74">
        <v>1</v>
      </c>
      <c r="C22" s="23" t="str">
        <f t="array" ref="C22">INDEX('ORC. SINTÉTICO'!$E:$E,MATCH($B22,'ORC. SINTÉTICO'!$B:$B,0))</f>
        <v>SERVIÇOS PRELIMINARES E INDIRETOS</v>
      </c>
      <c r="D22" s="75"/>
      <c r="E22" s="76">
        <f t="array" ref="E22">INDEX('ORC. SINTÉTICO'!$N:$N,MATCH($B22,'ORC. SINTÉTICO'!$B:$B,0))</f>
        <v>148157.86431999999</v>
      </c>
      <c r="F22" s="289">
        <f t="shared" ref="F22:F42" si="0">IFERROR(E22/$E$43,"-")</f>
        <v>6.4625974758762861E-2</v>
      </c>
      <c r="G22" s="301">
        <f>E22/2</f>
        <v>74078.932159999997</v>
      </c>
      <c r="H22" s="294">
        <f>G22</f>
        <v>74078.932159999997</v>
      </c>
      <c r="I22" s="295"/>
      <c r="J22" s="295"/>
      <c r="K22" s="295"/>
      <c r="L22" s="296"/>
      <c r="M22" s="296"/>
      <c r="N22" s="296"/>
      <c r="O22" s="296"/>
      <c r="P22" s="296"/>
      <c r="Q22" s="296"/>
      <c r="R22" s="296"/>
      <c r="S22" s="48"/>
      <c r="T22" s="48"/>
      <c r="U22" s="48"/>
      <c r="V22" s="48"/>
      <c r="W22" s="44"/>
      <c r="X22" s="44"/>
      <c r="Y22" s="44"/>
    </row>
    <row r="23" spans="1:25" ht="15" customHeight="1" x14ac:dyDescent="0.25">
      <c r="A23" s="48"/>
      <c r="B23" s="74">
        <v>2</v>
      </c>
      <c r="C23" s="23" t="str">
        <f t="array" ref="C23">INDEX('ORC. SINTÉTICO'!$E:$E,MATCH($B23,'ORC. SINTÉTICO'!$B:$B,0))</f>
        <v>FUNDAÇÃO</v>
      </c>
      <c r="D23" s="75"/>
      <c r="E23" s="76">
        <f t="array" ref="E23">INDEX('ORC. SINTÉTICO'!$N:$N,MATCH($B23,'ORC. SINTÉTICO'!$B:$B,0))</f>
        <v>232805.94999999998</v>
      </c>
      <c r="F23" s="289">
        <f t="shared" si="0"/>
        <v>0.10154919225815827</v>
      </c>
      <c r="G23" s="302">
        <f>E23/2</f>
        <v>116402.97499999999</v>
      </c>
      <c r="H23" s="294">
        <f>E23/2</f>
        <v>116402.97499999999</v>
      </c>
      <c r="I23" s="292"/>
      <c r="J23" s="292"/>
      <c r="K23" s="292"/>
      <c r="L23" s="293"/>
      <c r="M23" s="293"/>
      <c r="N23" s="293"/>
      <c r="O23" s="293"/>
      <c r="P23" s="293"/>
      <c r="Q23" s="293"/>
      <c r="R23" s="293"/>
      <c r="S23" s="48"/>
      <c r="T23" s="48"/>
      <c r="U23" s="48"/>
      <c r="V23" s="48"/>
      <c r="W23" s="44"/>
      <c r="X23" s="44"/>
      <c r="Y23" s="44"/>
    </row>
    <row r="24" spans="1:25" ht="15" customHeight="1" x14ac:dyDescent="0.25">
      <c r="A24" s="48"/>
      <c r="B24" s="74">
        <v>3</v>
      </c>
      <c r="C24" s="23" t="str">
        <f t="array" ref="C24">INDEX('ORC. SINTÉTICO'!$E:$E,MATCH($B24,'ORC. SINTÉTICO'!$B:$B,0))</f>
        <v>ESTRUTURA</v>
      </c>
      <c r="D24" s="75"/>
      <c r="E24" s="76">
        <f t="array" ref="E24">INDEX('ORC. SINTÉTICO'!$N:$N,MATCH($B24,'ORC. SINTÉTICO'!$B:$B,0))</f>
        <v>329242.87</v>
      </c>
      <c r="F24" s="289">
        <f t="shared" si="0"/>
        <v>0.14361466064444578</v>
      </c>
      <c r="G24" s="290"/>
      <c r="H24" s="294">
        <f>E24/2</f>
        <v>164621.435</v>
      </c>
      <c r="I24" s="303">
        <f>E24/2</f>
        <v>164621.435</v>
      </c>
      <c r="J24" s="292"/>
      <c r="K24" s="292"/>
      <c r="L24" s="293"/>
      <c r="M24" s="293"/>
      <c r="N24" s="293"/>
      <c r="O24" s="293"/>
      <c r="P24" s="293"/>
      <c r="Q24" s="293"/>
      <c r="R24" s="293"/>
      <c r="S24" s="48"/>
      <c r="T24" s="48"/>
      <c r="U24" s="48"/>
      <c r="V24" s="48"/>
      <c r="W24" s="44"/>
      <c r="X24" s="44"/>
      <c r="Y24" s="44"/>
    </row>
    <row r="25" spans="1:25" ht="15" customHeight="1" x14ac:dyDescent="0.25">
      <c r="A25" s="48"/>
      <c r="B25" s="74">
        <v>4</v>
      </c>
      <c r="C25" s="23" t="str">
        <f t="array" ref="C25">INDEX('ORC. SINTÉTICO'!$E:$E,MATCH($B25,'ORC. SINTÉTICO'!$B:$B,0))</f>
        <v>ALVENARIA, VEDAÇÕES E DIVISÓRIAS</v>
      </c>
      <c r="D25" s="78"/>
      <c r="E25" s="76">
        <f t="array" ref="E25">INDEX('ORC. SINTÉTICO'!$N:$N,MATCH($B25,'ORC. SINTÉTICO'!$B:$B,0))</f>
        <v>177322.04000000004</v>
      </c>
      <c r="F25" s="289">
        <f t="shared" si="0"/>
        <v>7.7347292590970451E-2</v>
      </c>
      <c r="G25" s="290"/>
      <c r="H25" s="291"/>
      <c r="I25" s="303">
        <f>E25/3</f>
        <v>59107.346666666679</v>
      </c>
      <c r="J25" s="303">
        <f>I25</f>
        <v>59107.346666666679</v>
      </c>
      <c r="K25" s="303">
        <f>J25</f>
        <v>59107.346666666679</v>
      </c>
      <c r="L25" s="293"/>
      <c r="M25" s="293"/>
      <c r="N25" s="293"/>
      <c r="O25" s="293"/>
      <c r="P25" s="293"/>
      <c r="Q25" s="293"/>
      <c r="R25" s="293"/>
      <c r="S25" s="48"/>
      <c r="T25" s="48"/>
      <c r="U25" s="48"/>
      <c r="V25" s="48"/>
      <c r="W25" s="44"/>
      <c r="X25" s="44"/>
      <c r="Y25" s="44"/>
    </row>
    <row r="26" spans="1:25" ht="15" customHeight="1" x14ac:dyDescent="0.25">
      <c r="A26" s="48"/>
      <c r="B26" s="74">
        <v>5</v>
      </c>
      <c r="C26" s="23" t="str">
        <f t="array" ref="C26">INDEX('ORC. SINTÉTICO'!$E:$E,MATCH($B26,'ORC. SINTÉTICO'!$B:$B,0))</f>
        <v>COBERTURA</v>
      </c>
      <c r="D26" s="75"/>
      <c r="E26" s="76">
        <f t="array" ref="E26">INDEX('ORC. SINTÉTICO'!$N:$N,MATCH($B26,'ORC. SINTÉTICO'!$B:$B,0))</f>
        <v>88308.860000000015</v>
      </c>
      <c r="F26" s="289">
        <f t="shared" si="0"/>
        <v>3.8520035257856536E-2</v>
      </c>
      <c r="G26" s="290"/>
      <c r="H26" s="291"/>
      <c r="I26" s="292"/>
      <c r="J26" s="292"/>
      <c r="K26" s="303">
        <f>E26/2</f>
        <v>44154.430000000008</v>
      </c>
      <c r="L26" s="304">
        <f>K26</f>
        <v>44154.430000000008</v>
      </c>
      <c r="M26" s="293"/>
      <c r="N26" s="293"/>
      <c r="O26" s="293"/>
      <c r="P26" s="293"/>
      <c r="Q26" s="293"/>
      <c r="R26" s="293"/>
      <c r="S26" s="48"/>
      <c r="T26" s="48"/>
      <c r="U26" s="48"/>
      <c r="V26" s="48"/>
      <c r="W26" s="44"/>
      <c r="X26" s="44"/>
      <c r="Y26" s="44"/>
    </row>
    <row r="27" spans="1:25" ht="15" customHeight="1" x14ac:dyDescent="0.25">
      <c r="A27" s="48"/>
      <c r="B27" s="74">
        <v>6</v>
      </c>
      <c r="C27" s="23" t="str">
        <f t="array" ref="C27">INDEX('ORC. SINTÉTICO'!$E:$E,MATCH($B27,'ORC. SINTÉTICO'!$B:$B,0))</f>
        <v>IMPERMEABILIZAÇÃO</v>
      </c>
      <c r="D27" s="75"/>
      <c r="E27" s="76">
        <f t="array" ref="E27">INDEX('ORC. SINTÉTICO'!$N:$N,MATCH($B27,'ORC. SINTÉTICO'!$B:$B,0))</f>
        <v>16136.07</v>
      </c>
      <c r="F27" s="289">
        <f t="shared" si="0"/>
        <v>7.0385008403827309E-3</v>
      </c>
      <c r="G27" s="290"/>
      <c r="H27" s="294">
        <f>E27/2</f>
        <v>8068.0349999999999</v>
      </c>
      <c r="I27" s="303">
        <f>H27</f>
        <v>8068.0349999999999</v>
      </c>
      <c r="J27" s="292"/>
      <c r="K27" s="292"/>
      <c r="L27" s="293"/>
      <c r="M27" s="293"/>
      <c r="N27" s="293"/>
      <c r="O27" s="293"/>
      <c r="P27" s="293"/>
      <c r="Q27" s="293"/>
      <c r="R27" s="293"/>
      <c r="S27" s="48"/>
      <c r="T27" s="48"/>
      <c r="U27" s="48"/>
      <c r="V27" s="48"/>
      <c r="W27" s="44"/>
      <c r="X27" s="44"/>
      <c r="Y27" s="44"/>
    </row>
    <row r="28" spans="1:25" ht="15" customHeight="1" x14ac:dyDescent="0.25">
      <c r="A28" s="48"/>
      <c r="B28" s="74">
        <v>7</v>
      </c>
      <c r="C28" s="23" t="str">
        <f t="array" ref="C28">INDEX('ORC. SINTÉTICO'!$E:$E,MATCH($B28,'ORC. SINTÉTICO'!$B:$B,0))</f>
        <v>ESQUADRIAS</v>
      </c>
      <c r="D28" s="78"/>
      <c r="E28" s="76">
        <f t="array" ref="E28">INDEX('ORC. SINTÉTICO'!$N:$N,MATCH($B28,'ORC. SINTÉTICO'!$B:$B,0))</f>
        <v>164171.54376000003</v>
      </c>
      <c r="F28" s="289">
        <f t="shared" si="0"/>
        <v>7.161108923806668E-2</v>
      </c>
      <c r="G28" s="290"/>
      <c r="H28" s="291"/>
      <c r="I28" s="292"/>
      <c r="J28" s="292"/>
      <c r="K28" s="292"/>
      <c r="L28" s="293"/>
      <c r="M28" s="305">
        <f>E28</f>
        <v>164171.54376000003</v>
      </c>
      <c r="N28" s="293"/>
      <c r="O28" s="293"/>
      <c r="P28" s="293"/>
      <c r="Q28" s="293"/>
      <c r="R28" s="293"/>
      <c r="S28" s="48"/>
      <c r="T28" s="48"/>
      <c r="U28" s="48"/>
      <c r="V28" s="48"/>
      <c r="W28" s="44"/>
      <c r="X28" s="44"/>
      <c r="Y28" s="44"/>
    </row>
    <row r="29" spans="1:25" ht="15" customHeight="1" x14ac:dyDescent="0.25">
      <c r="A29" s="48"/>
      <c r="B29" s="74">
        <v>8</v>
      </c>
      <c r="C29" s="331" t="str">
        <f t="array" ref="C29">INDEX('ORC. SINTÉTICO'!$E:$E,MATCH($B29,'ORC. SINTÉTICO'!$B:$B,0))</f>
        <v>REVESTIMENTO DE PAREDE</v>
      </c>
      <c r="D29" s="332"/>
      <c r="E29" s="76">
        <f t="array" ref="E29">INDEX('ORC. SINTÉTICO'!$N:$N,MATCH($B29,'ORC. SINTÉTICO'!$B:$B,0))</f>
        <v>73250</v>
      </c>
      <c r="F29" s="289">
        <f t="shared" si="0"/>
        <v>3.1951409888407466E-2</v>
      </c>
      <c r="G29" s="290"/>
      <c r="H29" s="291"/>
      <c r="I29" s="292"/>
      <c r="J29" s="292"/>
      <c r="K29" s="292"/>
      <c r="L29" s="293"/>
      <c r="M29" s="293"/>
      <c r="N29" s="305">
        <f>E29</f>
        <v>73250</v>
      </c>
      <c r="O29" s="293"/>
      <c r="P29" s="293"/>
      <c r="Q29" s="293"/>
      <c r="R29" s="293"/>
      <c r="S29" s="48"/>
      <c r="T29" s="48"/>
      <c r="U29" s="48"/>
      <c r="V29" s="48"/>
      <c r="W29" s="44"/>
      <c r="X29" s="44"/>
      <c r="Y29" s="44"/>
    </row>
    <row r="30" spans="1:25" ht="15" customHeight="1" x14ac:dyDescent="0.25">
      <c r="A30" s="48"/>
      <c r="B30" s="74">
        <v>9</v>
      </c>
      <c r="C30" s="331" t="str">
        <f t="array" ref="C30">INDEX('ORC. SINTÉTICO'!$E:$E,MATCH($B30,'ORC. SINTÉTICO'!$B:$B,0))</f>
        <v>REVESTIMENTO DE PISO INTERNO</v>
      </c>
      <c r="D30" s="332"/>
      <c r="E30" s="76">
        <f t="array" ref="E30">INDEX('ORC. SINTÉTICO'!$N:$N,MATCH($B30,'ORC. SINTÉTICO'!$B:$B,0))</f>
        <v>139488.71000000002</v>
      </c>
      <c r="F30" s="289">
        <f t="shared" si="0"/>
        <v>6.0844518061640984E-2</v>
      </c>
      <c r="G30" s="290"/>
      <c r="H30" s="291"/>
      <c r="I30" s="292"/>
      <c r="J30" s="292"/>
      <c r="K30" s="292"/>
      <c r="L30" s="293"/>
      <c r="M30" s="293"/>
      <c r="N30" s="305">
        <f>E30</f>
        <v>139488.71000000002</v>
      </c>
      <c r="O30" s="293"/>
      <c r="P30" s="293"/>
      <c r="Q30" s="293"/>
      <c r="R30" s="293"/>
      <c r="S30" s="48"/>
      <c r="T30" s="48"/>
      <c r="U30" s="48"/>
      <c r="V30" s="48"/>
      <c r="W30" s="44"/>
      <c r="X30" s="44"/>
      <c r="Y30" s="44"/>
    </row>
    <row r="31" spans="1:25" ht="15" customHeight="1" x14ac:dyDescent="0.25">
      <c r="A31" s="48"/>
      <c r="B31" s="74">
        <v>10</v>
      </c>
      <c r="C31" s="331" t="str">
        <f t="array" ref="C31">INDEX('ORC. SINTÉTICO'!$E:$E,MATCH($B31,'ORC. SINTÉTICO'!$B:$B,0))</f>
        <v>REVESTIMENTO DE PISO EXTERNO</v>
      </c>
      <c r="D31" s="332"/>
      <c r="E31" s="76">
        <f t="array" ref="E31">INDEX('ORC. SINTÉTICO'!$N:$N,MATCH($B31,'ORC. SINTÉTICO'!$B:$B,0))</f>
        <v>17687.439999999999</v>
      </c>
      <c r="F31" s="289">
        <f t="shared" si="0"/>
        <v>7.7152033490322687E-3</v>
      </c>
      <c r="G31" s="290"/>
      <c r="H31" s="291"/>
      <c r="I31" s="292"/>
      <c r="J31" s="292"/>
      <c r="K31" s="292"/>
      <c r="L31" s="293"/>
      <c r="M31" s="293"/>
      <c r="N31" s="305">
        <f>E31</f>
        <v>17687.439999999999</v>
      </c>
      <c r="O31" s="293"/>
      <c r="P31" s="293"/>
      <c r="Q31" s="293"/>
      <c r="R31" s="293"/>
      <c r="S31" s="48"/>
      <c r="T31" s="48"/>
      <c r="U31" s="48"/>
      <c r="V31" s="48"/>
      <c r="W31" s="44"/>
      <c r="X31" s="44"/>
      <c r="Y31" s="44"/>
    </row>
    <row r="32" spans="1:25" ht="15" customHeight="1" x14ac:dyDescent="0.25">
      <c r="A32" s="48"/>
      <c r="B32" s="74">
        <v>11</v>
      </c>
      <c r="C32" s="331" t="str">
        <f t="array" ref="C32">INDEX('ORC. SINTÉTICO'!$E:$E,MATCH($B32,'ORC. SINTÉTICO'!$B:$B,0))</f>
        <v>REVESTIMENTO DE TETO</v>
      </c>
      <c r="D32" s="332"/>
      <c r="E32" s="76">
        <f t="array" ref="E32">INDEX('ORC. SINTÉTICO'!$N:$N,MATCH($B32,'ORC. SINTÉTICO'!$B:$B,0))</f>
        <v>31931.69</v>
      </c>
      <c r="F32" s="289">
        <f t="shared" si="0"/>
        <v>1.3928498506751697E-2</v>
      </c>
      <c r="G32" s="290"/>
      <c r="H32" s="291"/>
      <c r="I32" s="292"/>
      <c r="J32" s="292"/>
      <c r="K32" s="292"/>
      <c r="L32" s="293"/>
      <c r="M32" s="293"/>
      <c r="N32" s="305">
        <f>E32</f>
        <v>31931.69</v>
      </c>
      <c r="O32" s="293"/>
      <c r="P32" s="293"/>
      <c r="Q32" s="293"/>
      <c r="R32" s="293"/>
      <c r="S32" s="48"/>
      <c r="T32" s="48"/>
      <c r="U32" s="48"/>
      <c r="V32" s="48"/>
      <c r="W32" s="44"/>
      <c r="X32" s="44"/>
      <c r="Y32" s="44"/>
    </row>
    <row r="33" spans="1:25" ht="15" customHeight="1" x14ac:dyDescent="0.25">
      <c r="A33" s="48"/>
      <c r="B33" s="74">
        <v>12</v>
      </c>
      <c r="C33" s="23" t="str">
        <f t="array" ref="C33">INDEX('ORC. SINTÉTICO'!$E:$E,MATCH($B33,'ORC. SINTÉTICO'!$B:$B,0))</f>
        <v>PINTURA</v>
      </c>
      <c r="D33" s="75"/>
      <c r="E33" s="76">
        <f t="array" ref="E33">INDEX('ORC. SINTÉTICO'!$N:$N,MATCH($B33,'ORC. SINTÉTICO'!$B:$B,0))</f>
        <v>87934.5</v>
      </c>
      <c r="F33" s="289">
        <f t="shared" si="0"/>
        <v>3.8356740652998857E-2</v>
      </c>
      <c r="G33" s="290"/>
      <c r="H33" s="291"/>
      <c r="I33" s="292"/>
      <c r="J33" s="292"/>
      <c r="K33" s="292"/>
      <c r="L33" s="293"/>
      <c r="M33" s="293"/>
      <c r="N33" s="305">
        <f>E33/3</f>
        <v>29311.5</v>
      </c>
      <c r="O33" s="305">
        <f>N33</f>
        <v>29311.5</v>
      </c>
      <c r="P33" s="305">
        <f>O33</f>
        <v>29311.5</v>
      </c>
      <c r="Q33" s="293"/>
      <c r="R33" s="293"/>
      <c r="S33" s="48"/>
      <c r="T33" s="48"/>
      <c r="U33" s="48"/>
      <c r="V33" s="48"/>
      <c r="W33" s="44"/>
      <c r="X33" s="44"/>
      <c r="Y33" s="44"/>
    </row>
    <row r="34" spans="1:25" ht="15" customHeight="1" x14ac:dyDescent="0.25">
      <c r="A34" s="48"/>
      <c r="B34" s="74">
        <v>13</v>
      </c>
      <c r="C34" s="23" t="str">
        <f t="array" ref="C34">INDEX('ORC. SINTÉTICO'!$E:$E,MATCH($B34,'ORC. SINTÉTICO'!$B:$B,0))</f>
        <v>MARMORARIA</v>
      </c>
      <c r="D34" s="75"/>
      <c r="E34" s="76">
        <f t="array" ref="E34">INDEX('ORC. SINTÉTICO'!$N:$N,MATCH($B34,'ORC. SINTÉTICO'!$B:$B,0))</f>
        <v>15753.87</v>
      </c>
      <c r="F34" s="289">
        <f t="shared" si="0"/>
        <v>6.8717864532243786E-3</v>
      </c>
      <c r="G34" s="290"/>
      <c r="H34" s="291"/>
      <c r="I34" s="292"/>
      <c r="J34" s="292"/>
      <c r="K34" s="292"/>
      <c r="L34" s="293"/>
      <c r="M34" s="293"/>
      <c r="N34" s="305">
        <f>E34</f>
        <v>15753.87</v>
      </c>
      <c r="O34" s="293"/>
      <c r="P34" s="293"/>
      <c r="Q34" s="293"/>
      <c r="R34" s="293"/>
      <c r="S34" s="48"/>
      <c r="T34" s="48"/>
      <c r="U34" s="48"/>
      <c r="V34" s="48"/>
      <c r="W34" s="44"/>
      <c r="X34" s="44"/>
      <c r="Y34" s="44"/>
    </row>
    <row r="35" spans="1:25" ht="15" customHeight="1" x14ac:dyDescent="0.25">
      <c r="A35" s="48"/>
      <c r="B35" s="74">
        <v>14</v>
      </c>
      <c r="C35" s="23" t="str">
        <f t="array" ref="C35">INDEX('ORC. SINTÉTICO'!$E:$E,MATCH($B35,'ORC. SINTÉTICO'!$B:$B,0))</f>
        <v>LOUÇAS, METAIS E ACESSÓRIOS</v>
      </c>
      <c r="D35" s="75"/>
      <c r="E35" s="76">
        <f t="array" ref="E35">INDEX('ORC. SINTÉTICO'!$N:$N,MATCH($B35,'ORC. SINTÉTICO'!$B:$B,0))</f>
        <v>52369.226487999986</v>
      </c>
      <c r="F35" s="289">
        <f t="shared" si="0"/>
        <v>2.2843284929104885E-2</v>
      </c>
      <c r="G35" s="290"/>
      <c r="H35" s="291"/>
      <c r="I35" s="292"/>
      <c r="J35" s="292"/>
      <c r="K35" s="292"/>
      <c r="L35" s="293"/>
      <c r="M35" s="304">
        <f>E35/2</f>
        <v>26184.613243999993</v>
      </c>
      <c r="N35" s="304">
        <f>M35</f>
        <v>26184.613243999993</v>
      </c>
      <c r="O35" s="293"/>
      <c r="P35" s="293"/>
      <c r="Q35" s="293"/>
      <c r="R35" s="293"/>
      <c r="S35" s="48"/>
      <c r="T35" s="48"/>
      <c r="U35" s="48"/>
      <c r="V35" s="48"/>
      <c r="W35" s="44"/>
      <c r="X35" s="44"/>
      <c r="Y35" s="44"/>
    </row>
    <row r="36" spans="1:25" ht="15" customHeight="1" x14ac:dyDescent="0.25">
      <c r="A36" s="48"/>
      <c r="B36" s="74">
        <v>15</v>
      </c>
      <c r="C36" s="23" t="str">
        <f t="array" ref="C36">INDEX('ORC. SINTÉTICO'!$E:$E,MATCH($B36,'ORC. SINTÉTICO'!$B:$B,0))</f>
        <v>INSTALAÇÕES HIDROSSANITÁRIAS</v>
      </c>
      <c r="D36" s="75"/>
      <c r="E36" s="76">
        <f t="array" ref="E36">INDEX('ORC. SINTÉTICO'!$N:$N,MATCH($B36,'ORC. SINTÉTICO'!$B:$B,0))</f>
        <v>175692.37807062399</v>
      </c>
      <c r="F36" s="289">
        <f t="shared" si="0"/>
        <v>7.6636439399365985E-2</v>
      </c>
      <c r="G36" s="290"/>
      <c r="H36" s="291"/>
      <c r="I36" s="292"/>
      <c r="J36" s="292"/>
      <c r="K36" s="292"/>
      <c r="L36" s="304">
        <f>E36/2</f>
        <v>87846.189035311996</v>
      </c>
      <c r="M36" s="304">
        <f>L36</f>
        <v>87846.189035311996</v>
      </c>
      <c r="N36" s="293"/>
      <c r="O36" s="293"/>
      <c r="P36" s="293"/>
      <c r="Q36" s="293"/>
      <c r="R36" s="293"/>
      <c r="S36" s="48"/>
      <c r="T36" s="48"/>
      <c r="U36" s="48"/>
      <c r="V36" s="48"/>
      <c r="W36" s="44"/>
      <c r="X36" s="44"/>
      <c r="Y36" s="44"/>
    </row>
    <row r="37" spans="1:25" ht="15" customHeight="1" x14ac:dyDescent="0.25">
      <c r="A37" s="48"/>
      <c r="B37" s="74">
        <v>16</v>
      </c>
      <c r="C37" s="23" t="str">
        <f t="array" ref="C37">INDEX('ORC. SINTÉTICO'!$E:$E,MATCH($B37,'ORC. SINTÉTICO'!$B:$B,0))</f>
        <v>INSTALAÇÕES ELÉTRICAS</v>
      </c>
      <c r="D37" s="75"/>
      <c r="E37" s="76">
        <f t="array" ref="E37">INDEX('ORC. SINTÉTICO'!$N:$N,MATCH($B37,'ORC. SINTÉTICO'!$B:$B,0))</f>
        <v>287072.08409280004</v>
      </c>
      <c r="F37" s="289">
        <f t="shared" si="0"/>
        <v>0.12521990206646322</v>
      </c>
      <c r="G37" s="290"/>
      <c r="H37" s="291"/>
      <c r="I37" s="292"/>
      <c r="J37" s="292"/>
      <c r="K37" s="292"/>
      <c r="L37" s="304">
        <f>E37/3</f>
        <v>95690.694697600018</v>
      </c>
      <c r="M37" s="304">
        <f>L37</f>
        <v>95690.694697600018</v>
      </c>
      <c r="N37" s="304">
        <f>E37/3</f>
        <v>95690.694697600018</v>
      </c>
      <c r="O37" s="293"/>
      <c r="P37" s="293"/>
      <c r="Q37" s="293"/>
      <c r="R37" s="293"/>
      <c r="S37" s="48"/>
      <c r="T37" s="48"/>
      <c r="U37" s="48"/>
      <c r="V37" s="48"/>
      <c r="W37" s="44"/>
      <c r="X37" s="44"/>
      <c r="Y37" s="44"/>
    </row>
    <row r="38" spans="1:25" ht="15" customHeight="1" x14ac:dyDescent="0.25">
      <c r="A38" s="48"/>
      <c r="B38" s="74">
        <v>17</v>
      </c>
      <c r="C38" s="23" t="str">
        <f t="array" ref="C38">INDEX('ORC. SINTÉTICO'!$E:$E,MATCH($B38,'ORC. SINTÉTICO'!$B:$B,0))</f>
        <v>CLIMATIZAÇÃO</v>
      </c>
      <c r="D38" s="75"/>
      <c r="E38" s="76">
        <f t="array" ref="E38">INDEX('ORC. SINTÉTICO'!$N:$N,MATCH($B38,'ORC. SINTÉTICO'!$B:$B,0))</f>
        <v>67220.950023999991</v>
      </c>
      <c r="F38" s="289">
        <f t="shared" si="0"/>
        <v>2.9321558051945085E-2</v>
      </c>
      <c r="G38" s="290"/>
      <c r="H38" s="291"/>
      <c r="I38" s="292"/>
      <c r="J38" s="292"/>
      <c r="K38" s="292"/>
      <c r="L38" s="293"/>
      <c r="M38" s="293"/>
      <c r="N38" s="293"/>
      <c r="O38" s="305">
        <f>E38/2</f>
        <v>33610.475011999995</v>
      </c>
      <c r="P38" s="305">
        <f>E38/2</f>
        <v>33610.475011999995</v>
      </c>
      <c r="Q38" s="293"/>
      <c r="R38" s="293"/>
      <c r="S38" s="48"/>
      <c r="T38" s="48"/>
      <c r="U38" s="48"/>
      <c r="V38" s="48"/>
      <c r="W38" s="44"/>
      <c r="X38" s="44"/>
      <c r="Y38" s="44"/>
    </row>
    <row r="39" spans="1:25" ht="15" customHeight="1" x14ac:dyDescent="0.25">
      <c r="A39" s="48"/>
      <c r="B39" s="74">
        <v>18</v>
      </c>
      <c r="C39" s="23" t="str">
        <f t="array" ref="C39">INDEX('ORC. SINTÉTICO'!$E:$E,MATCH($B39,'ORC. SINTÉTICO'!$B:$B,0))</f>
        <v>DADOS E VOZ</v>
      </c>
      <c r="D39" s="75"/>
      <c r="E39" s="76">
        <f t="array" ref="E39">INDEX('ORC. SINTÉTICO'!$N:$N,MATCH($B39,'ORC. SINTÉTICO'!$B:$B,0))</f>
        <v>8839.880000000001</v>
      </c>
      <c r="F39" s="289">
        <f t="shared" si="0"/>
        <v>3.855926679103555E-3</v>
      </c>
      <c r="G39" s="290"/>
      <c r="H39" s="291"/>
      <c r="I39" s="292"/>
      <c r="J39" s="292"/>
      <c r="K39" s="292"/>
      <c r="L39" s="293"/>
      <c r="M39" s="293"/>
      <c r="N39" s="293"/>
      <c r="O39" s="293"/>
      <c r="P39" s="305">
        <f>E39</f>
        <v>8839.880000000001</v>
      </c>
      <c r="Q39" s="293"/>
      <c r="R39" s="293"/>
      <c r="S39" s="48"/>
      <c r="T39" s="48"/>
      <c r="U39" s="48"/>
      <c r="V39" s="48"/>
      <c r="W39" s="44"/>
      <c r="X39" s="44"/>
      <c r="Y39" s="44"/>
    </row>
    <row r="40" spans="1:25" ht="15" customHeight="1" x14ac:dyDescent="0.25">
      <c r="A40" s="48"/>
      <c r="B40" s="74">
        <v>19</v>
      </c>
      <c r="C40" s="23" t="str">
        <f t="array" ref="C40">INDEX('ORC. SINTÉTICO'!$E:$E,MATCH($B40,'ORC. SINTÉTICO'!$B:$B,0))</f>
        <v>GASES MEDICINAIS</v>
      </c>
      <c r="D40" s="75"/>
      <c r="E40" s="76">
        <f t="array" ref="E40">INDEX('ORC. SINTÉTICO'!$N:$N,MATCH($B40,'ORC. SINTÉTICO'!$B:$B,0))</f>
        <v>20195.985400000001</v>
      </c>
      <c r="F40" s="289">
        <f t="shared" si="0"/>
        <v>8.8094226295657736E-3</v>
      </c>
      <c r="G40" s="290"/>
      <c r="H40" s="291"/>
      <c r="I40" s="292"/>
      <c r="J40" s="292"/>
      <c r="K40" s="292"/>
      <c r="L40" s="293"/>
      <c r="M40" s="293"/>
      <c r="N40" s="293"/>
      <c r="O40" s="293"/>
      <c r="P40" s="293"/>
      <c r="Q40" s="305">
        <f>E40</f>
        <v>20195.985400000001</v>
      </c>
      <c r="R40" s="293"/>
      <c r="S40" s="48"/>
      <c r="T40" s="48"/>
      <c r="U40" s="48"/>
      <c r="V40" s="48"/>
      <c r="W40" s="44"/>
      <c r="X40" s="44"/>
      <c r="Y40" s="44"/>
    </row>
    <row r="41" spans="1:25" ht="15" customHeight="1" thickBot="1" x14ac:dyDescent="0.3">
      <c r="A41" s="48"/>
      <c r="B41" s="74">
        <v>20</v>
      </c>
      <c r="C41" s="23" t="str">
        <f t="array" ref="C41">INDEX('ORC. SINTÉTICO'!$E:$E,MATCH($B41,'ORC. SINTÉTICO'!$B:$B,0))</f>
        <v>URBANIZAÇÃO</v>
      </c>
      <c r="D41" s="75"/>
      <c r="E41" s="76">
        <f t="array" ref="E41">INDEX('ORC. SINTÉTICO'!$N:$N,MATCH($B41,'ORC. SINTÉTICO'!$B:$B,0))</f>
        <v>12127.869999999999</v>
      </c>
      <c r="F41" s="289">
        <f t="shared" si="0"/>
        <v>5.2901371391579554E-3</v>
      </c>
      <c r="G41" s="315"/>
      <c r="H41" s="320"/>
      <c r="I41" s="316"/>
      <c r="J41" s="316"/>
      <c r="K41" s="316"/>
      <c r="L41" s="314"/>
      <c r="M41" s="314"/>
      <c r="N41" s="314"/>
      <c r="O41" s="314"/>
      <c r="P41" s="314"/>
      <c r="Q41" s="305">
        <f>E41/2</f>
        <v>6063.9349999999995</v>
      </c>
      <c r="R41" s="304">
        <f>E41/2</f>
        <v>6063.9349999999995</v>
      </c>
      <c r="S41" s="48"/>
      <c r="T41" s="48"/>
      <c r="U41" s="48"/>
      <c r="V41" s="48"/>
      <c r="W41" s="44"/>
      <c r="X41" s="44"/>
      <c r="Y41" s="44"/>
    </row>
    <row r="42" spans="1:25" ht="15" customHeight="1" thickBot="1" x14ac:dyDescent="0.3">
      <c r="A42" s="48"/>
      <c r="B42" s="74">
        <v>21</v>
      </c>
      <c r="C42" s="23" t="str">
        <f t="array" ref="C42">INDEX('ORC. SINTÉTICO'!$E:$E,MATCH($B42,'ORC. SINTÉTICO'!$B:$B,0))</f>
        <v>SERVIÇOS COMPLEMENTARES</v>
      </c>
      <c r="D42" s="75"/>
      <c r="E42" s="76">
        <f t="array" ref="E42">INDEX('ORC. SINTÉTICO'!$N:$N,MATCH($B42,'ORC. SINTÉTICO'!$B:$B,0))</f>
        <v>146833.81000000006</v>
      </c>
      <c r="F42" s="289">
        <f t="shared" si="0"/>
        <v>6.4048426604594463E-2</v>
      </c>
      <c r="G42" s="310"/>
      <c r="H42" s="310"/>
      <c r="I42" s="311"/>
      <c r="J42" s="311"/>
      <c r="K42" s="311"/>
      <c r="L42" s="311"/>
      <c r="M42" s="311"/>
      <c r="N42" s="311"/>
      <c r="O42" s="311"/>
      <c r="P42" s="311"/>
      <c r="Q42" s="318"/>
      <c r="R42" s="319">
        <f>E42</f>
        <v>146833.81000000006</v>
      </c>
      <c r="S42" s="48"/>
      <c r="T42" s="48"/>
      <c r="U42" s="48"/>
      <c r="V42" s="48"/>
      <c r="W42" s="44"/>
      <c r="X42" s="44"/>
      <c r="Y42" s="44"/>
    </row>
    <row r="43" spans="1:25" ht="15" customHeight="1" thickBot="1" x14ac:dyDescent="0.3">
      <c r="A43" s="66"/>
      <c r="B43" s="366" t="s">
        <v>24</v>
      </c>
      <c r="C43" s="367"/>
      <c r="D43" s="80"/>
      <c r="E43" s="312">
        <f>SUBTOTAL(9,E22:E42)</f>
        <v>2292543.5921554244</v>
      </c>
      <c r="F43" s="313">
        <f>SUBTOTAL(9,F22:F42)</f>
        <v>0.99999999999999989</v>
      </c>
      <c r="G43" s="306"/>
      <c r="H43" s="307"/>
      <c r="I43" s="308"/>
      <c r="J43" s="317"/>
      <c r="K43" s="317"/>
      <c r="L43" s="317"/>
      <c r="M43" s="317"/>
      <c r="N43" s="317"/>
      <c r="O43" s="317"/>
      <c r="P43" s="317"/>
      <c r="Q43" s="317"/>
      <c r="R43" s="317"/>
      <c r="T43" s="48"/>
      <c r="U43" s="48"/>
      <c r="V43" s="48"/>
      <c r="W43" s="48"/>
      <c r="X43" s="48"/>
      <c r="Y43" s="48"/>
    </row>
    <row r="44" spans="1:25" ht="15" customHeight="1" thickBot="1" x14ac:dyDescent="0.3">
      <c r="A44" s="66"/>
      <c r="B44" s="65"/>
      <c r="C44" s="65"/>
      <c r="D44" s="65"/>
      <c r="E44" s="327" t="s">
        <v>1738</v>
      </c>
      <c r="F44" s="328"/>
      <c r="G44" s="329">
        <f>G23+G22</f>
        <v>190481.90716</v>
      </c>
      <c r="H44" s="307">
        <f>H27+H24+H23+H22</f>
        <v>363171.37716000003</v>
      </c>
      <c r="I44" s="308">
        <f>I27+I25+I24</f>
        <v>231796.81666666668</v>
      </c>
      <c r="J44" s="309">
        <f>J25</f>
        <v>59107.346666666679</v>
      </c>
      <c r="K44" s="309">
        <f>K26+K25</f>
        <v>103261.77666666669</v>
      </c>
      <c r="L44" s="307">
        <f>L37+L36+L26</f>
        <v>227691.31373291201</v>
      </c>
      <c r="M44" s="307">
        <f>M36+M37+M35+M28</f>
        <v>373893.04073691205</v>
      </c>
      <c r="N44" s="307">
        <f>N37+N35+N34+N33+N32+N31+N30+N29</f>
        <v>429298.51794160006</v>
      </c>
      <c r="O44" s="330">
        <f>O38+O33</f>
        <v>62921.975011999995</v>
      </c>
      <c r="P44" s="307">
        <f>P39+P38+P33</f>
        <v>71761.855012</v>
      </c>
      <c r="Q44" s="307">
        <f>Q41+Q40</f>
        <v>26259.920400000003</v>
      </c>
      <c r="R44" s="307">
        <f>R42+R41</f>
        <v>152897.74500000005</v>
      </c>
      <c r="S44" s="48"/>
      <c r="T44" s="48"/>
      <c r="U44" s="48"/>
      <c r="V44" s="48"/>
      <c r="W44" s="48"/>
      <c r="X44" s="48"/>
      <c r="Y44" s="48"/>
    </row>
    <row r="45" spans="1:25" ht="15" customHeight="1" thickBot="1" x14ac:dyDescent="0.3">
      <c r="A45" s="66"/>
      <c r="B45" s="65"/>
      <c r="C45" s="65"/>
      <c r="D45" s="65"/>
      <c r="E45" s="370" t="s">
        <v>1739</v>
      </c>
      <c r="F45" s="371"/>
      <c r="G45" s="329">
        <f>G44</f>
        <v>190481.90716</v>
      </c>
      <c r="H45" s="307">
        <f>G45+H44</f>
        <v>553653.28432000009</v>
      </c>
      <c r="I45" s="308">
        <f>I44+H45</f>
        <v>785450.10098666674</v>
      </c>
      <c r="J45" s="309">
        <f t="shared" ref="J45:R45" si="1">I45+J44</f>
        <v>844557.44765333342</v>
      </c>
      <c r="K45" s="309">
        <f t="shared" si="1"/>
        <v>947819.22432000015</v>
      </c>
      <c r="L45" s="307">
        <f t="shared" si="1"/>
        <v>1175510.5380529121</v>
      </c>
      <c r="M45" s="307">
        <f t="shared" si="1"/>
        <v>1549403.5787898242</v>
      </c>
      <c r="N45" s="307">
        <f t="shared" si="1"/>
        <v>1978702.0967314243</v>
      </c>
      <c r="O45" s="307">
        <f t="shared" si="1"/>
        <v>2041624.0717434243</v>
      </c>
      <c r="P45" s="307">
        <f t="shared" si="1"/>
        <v>2113385.9267554241</v>
      </c>
      <c r="Q45" s="307">
        <f t="shared" si="1"/>
        <v>2139645.8471554243</v>
      </c>
      <c r="R45" s="307">
        <f t="shared" si="1"/>
        <v>2292543.5921554244</v>
      </c>
      <c r="S45" s="48"/>
      <c r="T45" s="48"/>
      <c r="U45" s="48"/>
      <c r="V45" s="48"/>
      <c r="W45" s="48"/>
      <c r="X45" s="48"/>
      <c r="Y45" s="48"/>
    </row>
    <row r="46" spans="1:25" ht="15" customHeight="1" x14ac:dyDescent="0.25">
      <c r="A46" s="66"/>
      <c r="B46" s="65"/>
      <c r="C46" s="65"/>
      <c r="D46" s="65"/>
      <c r="E46" s="321"/>
      <c r="F46" s="321"/>
      <c r="G46" s="322"/>
      <c r="H46" s="323"/>
      <c r="I46" s="324"/>
      <c r="J46" s="325"/>
      <c r="K46" s="255"/>
      <c r="L46" s="326"/>
      <c r="M46" s="326"/>
      <c r="N46" s="326"/>
      <c r="O46" s="326"/>
      <c r="P46" s="326"/>
      <c r="Q46" s="326"/>
      <c r="R46" s="326"/>
      <c r="S46" s="48"/>
      <c r="T46" s="48"/>
      <c r="U46" s="48"/>
      <c r="V46" s="48"/>
      <c r="W46" s="48"/>
      <c r="X46" s="48"/>
      <c r="Y46" s="48"/>
    </row>
    <row r="47" spans="1:25" ht="15" customHeight="1" x14ac:dyDescent="0.25">
      <c r="A47" s="66"/>
      <c r="B47" s="65"/>
      <c r="C47" s="65"/>
      <c r="D47" s="65"/>
      <c r="E47" s="321"/>
      <c r="F47" s="321"/>
      <c r="G47" s="322"/>
      <c r="H47" s="323"/>
      <c r="I47" s="324"/>
      <c r="J47" s="325"/>
      <c r="K47" s="255"/>
      <c r="L47" s="326"/>
      <c r="M47" s="326"/>
      <c r="N47" s="326"/>
      <c r="O47" s="326"/>
      <c r="P47" s="326"/>
      <c r="Q47" s="326"/>
      <c r="R47" s="326"/>
      <c r="S47" s="48"/>
      <c r="T47" s="48"/>
      <c r="U47" s="48"/>
      <c r="V47" s="48"/>
      <c r="W47" s="48"/>
      <c r="X47" s="48"/>
      <c r="Y47" s="48"/>
    </row>
    <row r="48" spans="1:25" ht="15" customHeight="1" x14ac:dyDescent="0.25">
      <c r="A48" s="44"/>
      <c r="B48" s="44"/>
      <c r="C48" s="44"/>
      <c r="D48" s="44"/>
      <c r="E48" s="44"/>
      <c r="F48" s="44"/>
      <c r="G48" s="44"/>
      <c r="H48" s="44"/>
      <c r="I48" s="256"/>
      <c r="J48" s="1"/>
      <c r="K48" s="1"/>
      <c r="L48" s="48"/>
      <c r="M48" s="48"/>
      <c r="N48" s="48"/>
      <c r="O48" s="48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5" customHeight="1" x14ac:dyDescent="0.25">
      <c r="A49" s="48"/>
      <c r="B49" s="86"/>
      <c r="C49" s="87"/>
      <c r="D49" s="87"/>
      <c r="E49" s="87"/>
      <c r="F49" s="88"/>
      <c r="G49" s="44"/>
      <c r="H49" s="48"/>
      <c r="I49" s="256"/>
      <c r="J49" s="1"/>
      <c r="K49" s="1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</row>
    <row r="50" spans="1:25" ht="15" customHeight="1" x14ac:dyDescent="0.25">
      <c r="A50" s="48"/>
      <c r="B50" s="89"/>
      <c r="C50" s="66"/>
      <c r="D50" s="66"/>
      <c r="E50" s="66"/>
      <c r="F50" s="90"/>
      <c r="G50" s="44"/>
      <c r="H50" s="48"/>
      <c r="I50" s="1"/>
      <c r="J50" s="1"/>
      <c r="K50" s="1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5" customHeight="1" x14ac:dyDescent="0.25">
      <c r="A51" s="48"/>
      <c r="B51" s="89"/>
      <c r="C51" s="66"/>
      <c r="D51" s="66"/>
      <c r="E51" s="66"/>
      <c r="F51" s="90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</row>
    <row r="52" spans="1:25" ht="15" customHeight="1" x14ac:dyDescent="0.25">
      <c r="A52" s="48"/>
      <c r="B52" s="89"/>
      <c r="C52" s="66"/>
      <c r="D52" s="66"/>
      <c r="E52" s="66"/>
      <c r="F52" s="90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5" customHeight="1" x14ac:dyDescent="0.25">
      <c r="A53" s="48"/>
      <c r="B53" s="368" t="s">
        <v>14</v>
      </c>
      <c r="C53" s="350"/>
      <c r="D53" s="350"/>
      <c r="E53" s="350"/>
      <c r="F53" s="351"/>
      <c r="G53" s="44"/>
      <c r="H53" s="48"/>
      <c r="I53" s="49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5" customHeight="1" x14ac:dyDescent="0.25">
      <c r="A54" s="48"/>
      <c r="B54" s="369" t="s">
        <v>1743</v>
      </c>
      <c r="C54" s="350"/>
      <c r="D54" s="350"/>
      <c r="E54" s="350"/>
      <c r="F54" s="351"/>
      <c r="G54" s="44"/>
      <c r="H54" s="48"/>
      <c r="I54" s="49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</row>
    <row r="55" spans="1:25" ht="15" customHeight="1" x14ac:dyDescent="0.25">
      <c r="A55" s="48"/>
      <c r="B55" s="365" t="s">
        <v>1744</v>
      </c>
      <c r="C55" s="350"/>
      <c r="D55" s="350"/>
      <c r="E55" s="350"/>
      <c r="F55" s="351"/>
      <c r="G55" s="44"/>
      <c r="H55" s="48"/>
      <c r="I55" s="49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5" customHeight="1" x14ac:dyDescent="0.25">
      <c r="A56" s="48"/>
      <c r="B56" s="91"/>
      <c r="C56" s="42"/>
      <c r="D56" s="42"/>
      <c r="E56" s="42"/>
      <c r="F56" s="43"/>
      <c r="G56" s="44"/>
      <c r="H56" s="48"/>
      <c r="I56" s="49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5.75" customHeight="1" x14ac:dyDescent="0.25">
      <c r="A57" s="48"/>
      <c r="B57" s="65"/>
      <c r="C57" s="4"/>
      <c r="D57" s="4"/>
      <c r="E57" s="4"/>
      <c r="F57" s="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5.75" customHeight="1" x14ac:dyDescent="0.25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5.75" customHeight="1" x14ac:dyDescent="0.25">
      <c r="A59" s="44"/>
      <c r="B59" s="44"/>
      <c r="C59" s="44"/>
      <c r="D59" s="44"/>
      <c r="E59" s="44"/>
      <c r="F59" s="44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5.75" customHeight="1" x14ac:dyDescent="0.25">
      <c r="A60" s="44"/>
      <c r="B60" s="44"/>
      <c r="C60" s="44"/>
      <c r="D60" s="44"/>
      <c r="E60" s="44"/>
      <c r="F60" s="44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5.75" customHeight="1" x14ac:dyDescent="0.25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5.75" customHeight="1" x14ac:dyDescent="0.25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5.75" customHeight="1" x14ac:dyDescent="0.25">
      <c r="A63" s="44"/>
      <c r="B63" s="44"/>
      <c r="C63" s="44"/>
      <c r="D63" s="92"/>
      <c r="E63" s="92"/>
      <c r="F63" s="92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5.75" customHeight="1" x14ac:dyDescent="0.25">
      <c r="A64" s="44"/>
      <c r="B64" s="44"/>
      <c r="C64" s="44"/>
      <c r="D64" s="93"/>
      <c r="E64" s="93"/>
      <c r="F64" s="93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5.75" customHeight="1" x14ac:dyDescent="0.25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5.75" customHeight="1" x14ac:dyDescent="0.25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5.75" customHeight="1" x14ac:dyDescent="0.25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5.75" customHeight="1" x14ac:dyDescent="0.25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5.75" customHeight="1" x14ac:dyDescent="0.25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5.75" customHeight="1" x14ac:dyDescent="0.25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5.75" customHeight="1" x14ac:dyDescent="0.25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5.75" customHeight="1" x14ac:dyDescent="0.25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5.75" customHeight="1" x14ac:dyDescent="0.25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5.75" customHeight="1" x14ac:dyDescent="0.25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5.75" customHeight="1" x14ac:dyDescent="0.25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5.75" customHeight="1" x14ac:dyDescent="0.25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5.75" customHeight="1" x14ac:dyDescent="0.25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5.75" customHeight="1" x14ac:dyDescent="0.25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5.75" customHeight="1" x14ac:dyDescent="0.25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5.75" customHeight="1" x14ac:dyDescent="0.25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5.75" customHeight="1" x14ac:dyDescent="0.25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5.75" customHeight="1" x14ac:dyDescent="0.25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5.75" customHeight="1" x14ac:dyDescent="0.25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5.75" customHeight="1" x14ac:dyDescent="0.25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5.75" customHeight="1" x14ac:dyDescent="0.25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5.75" customHeight="1" x14ac:dyDescent="0.25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5.75" customHeight="1" x14ac:dyDescent="0.25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5.75" customHeight="1" x14ac:dyDescent="0.25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5.75" customHeight="1" x14ac:dyDescent="0.25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5.75" customHeight="1" x14ac:dyDescent="0.25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5.75" customHeight="1" x14ac:dyDescent="0.25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5.75" customHeight="1" x14ac:dyDescent="0.25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5.75" customHeight="1" x14ac:dyDescent="0.25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5.75" customHeight="1" x14ac:dyDescent="0.25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5.75" customHeight="1" x14ac:dyDescent="0.25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5.75" customHeight="1" x14ac:dyDescent="0.25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5.75" customHeight="1" x14ac:dyDescent="0.25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5.75" customHeight="1" x14ac:dyDescent="0.25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5.75" customHeight="1" x14ac:dyDescent="0.25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5.7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5.7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5.7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5.7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5.7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5.7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5.7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5.7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5.7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5.7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5.7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5.7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5.7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5.7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5.7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5.7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5.7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5.7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5.7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5.7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5.7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5.7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5.7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5.7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5.7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5.7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5.7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5.7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5.7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5.7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5.7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5.7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5.7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5.7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5.7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5.7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5.7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5.7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5.7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5.7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5.7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5.7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5.7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5.7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5.7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5.7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5.7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5.7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5.7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5.7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5.7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5.7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5.7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5.7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5.7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5.7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5.7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5.7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5.7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5.7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5.7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5.7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5.75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5.75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5.75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5.75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5.75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5.75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5.75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5.75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5.75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5.75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5.75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5.75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5.75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5.75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5.75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5.75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5.75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5.75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5.75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5.75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5.75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5.7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5.7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5.7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5.7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5.7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5.7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5.7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5.7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5.7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5.7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5.7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5.7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5.7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5.7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5.7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5.7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5.7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5.7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5.7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5.7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5.7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5.7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5.7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5.7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5.7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5.7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5.7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5.7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5.7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5.7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5.7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5.7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5.7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5.7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5.7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5.7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5.7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5.7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5.7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5.7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5.7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5.7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5.7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5.7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5.7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5.7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5.7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5.7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5.7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5.7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5.7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5.7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5.7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5.7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5.7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5.7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5.7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5.7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5.7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5.7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5.7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5.7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5.7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5.7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5.7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5.7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5.7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5.7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5.7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5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5.7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5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5.7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5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5.7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5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23">
    <mergeCell ref="B2:R6"/>
    <mergeCell ref="G8:G18"/>
    <mergeCell ref="H8:H18"/>
    <mergeCell ref="I8:I18"/>
    <mergeCell ref="J8:J18"/>
    <mergeCell ref="K8:K18"/>
    <mergeCell ref="L8:L18"/>
    <mergeCell ref="M8:M18"/>
    <mergeCell ref="N8:N18"/>
    <mergeCell ref="O8:O18"/>
    <mergeCell ref="P8:P18"/>
    <mergeCell ref="Q8:Q18"/>
    <mergeCell ref="R8:R18"/>
    <mergeCell ref="C12:F12"/>
    <mergeCell ref="C13:F13"/>
    <mergeCell ref="C14:F14"/>
    <mergeCell ref="C15:F15"/>
    <mergeCell ref="C16:F16"/>
    <mergeCell ref="B55:F55"/>
    <mergeCell ref="B43:C43"/>
    <mergeCell ref="B53:F53"/>
    <mergeCell ref="B54:F54"/>
    <mergeCell ref="E45:F45"/>
  </mergeCells>
  <printOptions horizontalCentered="1"/>
  <pageMargins left="0.25" right="0.25" top="0.75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BFBF"/>
    <pageSetUpPr fitToPage="1"/>
  </sheetPr>
  <dimension ref="A1:Z995"/>
  <sheetViews>
    <sheetView showGridLines="0" zoomScale="52" zoomScaleNormal="70" workbookViewId="0">
      <selection activeCell="E32" sqref="E32"/>
    </sheetView>
  </sheetViews>
  <sheetFormatPr defaultColWidth="12.59765625" defaultRowHeight="15" customHeight="1" x14ac:dyDescent="0.25"/>
  <cols>
    <col min="1" max="1" width="3.19921875" customWidth="1"/>
    <col min="2" max="2" width="13.19921875" customWidth="1"/>
    <col min="3" max="3" width="70.09765625" customWidth="1"/>
    <col min="4" max="5" width="28.69921875" customWidth="1"/>
    <col min="6" max="6" width="18.19921875" customWidth="1"/>
    <col min="7" max="7" width="3.19921875" customWidth="1"/>
    <col min="8" max="8" width="18.19921875" customWidth="1"/>
    <col min="9" max="9" width="19.5" bestFit="1" customWidth="1"/>
    <col min="10" max="10" width="13.69921875" bestFit="1" customWidth="1"/>
    <col min="11" max="11" width="17.69921875" customWidth="1"/>
    <col min="12" max="12" width="19" customWidth="1"/>
    <col min="13" max="13" width="13.69921875" customWidth="1"/>
    <col min="14" max="14" width="2.69921875" customWidth="1"/>
    <col min="15" max="15" width="13.69921875" customWidth="1"/>
  </cols>
  <sheetData>
    <row r="1" spans="1:26" ht="13.8" x14ac:dyDescent="0.25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customHeight="1" x14ac:dyDescent="0.25">
      <c r="A2" s="46"/>
      <c r="B2" s="346" t="s">
        <v>15</v>
      </c>
      <c r="C2" s="347"/>
      <c r="D2" s="347"/>
      <c r="E2" s="347"/>
      <c r="F2" s="348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5">
      <c r="A3" s="46"/>
      <c r="B3" s="349"/>
      <c r="C3" s="350"/>
      <c r="D3" s="350"/>
      <c r="E3" s="350"/>
      <c r="F3" s="351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5">
      <c r="A4" s="46"/>
      <c r="B4" s="349"/>
      <c r="C4" s="350"/>
      <c r="D4" s="350"/>
      <c r="E4" s="350"/>
      <c r="F4" s="351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5">
      <c r="A5" s="46"/>
      <c r="B5" s="349"/>
      <c r="C5" s="350"/>
      <c r="D5" s="350"/>
      <c r="E5" s="350"/>
      <c r="F5" s="351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5">
      <c r="A6" s="46"/>
      <c r="B6" s="352"/>
      <c r="C6" s="353"/>
      <c r="D6" s="353"/>
      <c r="E6" s="353"/>
      <c r="F6" s="354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5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5">
      <c r="A8" s="48"/>
      <c r="B8" s="50" t="str">
        <f>'DADOS GERAIS'!B8</f>
        <v>Secretaria de Atenção Especializada à Saúde</v>
      </c>
      <c r="C8" s="51"/>
      <c r="D8" s="52" t="s">
        <v>16</v>
      </c>
      <c r="E8" s="52" t="s">
        <v>17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5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0.24880703423586414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5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5">
      <c r="A11" s="48"/>
      <c r="B11" s="60" t="str">
        <f>'DADOS GERAIS'!B11</f>
        <v>Bancos:</v>
      </c>
      <c r="C11" s="55"/>
      <c r="D11" s="61" t="s">
        <v>18</v>
      </c>
      <c r="E11" s="61" t="s">
        <v>19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5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5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5">
      <c r="A14" s="48"/>
      <c r="B14" s="65"/>
      <c r="C14" s="4"/>
      <c r="D14" s="4"/>
      <c r="E14" s="4"/>
      <c r="F14" s="4"/>
      <c r="G14" s="48"/>
      <c r="H14" s="1"/>
      <c r="I14" s="1"/>
      <c r="J14" s="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15" customHeight="1" x14ac:dyDescent="0.25">
      <c r="A15" s="66"/>
      <c r="B15" s="67" t="s">
        <v>20</v>
      </c>
      <c r="C15" s="68" t="s">
        <v>21</v>
      </c>
      <c r="D15" s="69"/>
      <c r="E15" s="69" t="s">
        <v>22</v>
      </c>
      <c r="F15" s="70" t="s">
        <v>23</v>
      </c>
      <c r="G15" s="44"/>
      <c r="H15" s="71"/>
      <c r="I15" s="1"/>
      <c r="J15" s="1"/>
      <c r="K15" s="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" customHeight="1" x14ac:dyDescent="0.25">
      <c r="A16" s="66"/>
      <c r="B16" s="72"/>
      <c r="C16" s="73"/>
      <c r="D16" s="73"/>
      <c r="E16" s="72"/>
      <c r="F16" s="72"/>
      <c r="G16" s="44"/>
      <c r="H16" s="48"/>
      <c r="I16" s="1"/>
      <c r="J16" s="1"/>
      <c r="K16" s="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" customHeight="1" x14ac:dyDescent="0.25">
      <c r="A17" s="48"/>
      <c r="B17" s="74">
        <v>1</v>
      </c>
      <c r="C17" s="23" t="str">
        <f t="array" ref="C17">INDEX('ORC. SINTÉTICO'!$E:$E,MATCH($B17,'ORC. SINTÉTICO'!$B:$B,0))</f>
        <v>SERVIÇOS PRELIMINARES E INDIRETOS</v>
      </c>
      <c r="D17" s="75"/>
      <c r="E17" s="76">
        <f t="array" ref="E17">INDEX('ORC. SINTÉTICO'!$N:$N,MATCH($B17,'ORC. SINTÉTICO'!$B:$B,0))</f>
        <v>148157.86431999999</v>
      </c>
      <c r="F17" s="77">
        <f t="shared" ref="F17:F37" si="0">IFERROR(E17/$E$39,"-")</f>
        <v>6.4625974758762861E-2</v>
      </c>
      <c r="G17" s="44"/>
      <c r="H17" s="259"/>
      <c r="I17" s="1"/>
      <c r="J17" s="1"/>
      <c r="K17" s="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/>
      <c r="Y17" s="44"/>
      <c r="Z17" s="44"/>
    </row>
    <row r="18" spans="1:26" ht="15" customHeight="1" x14ac:dyDescent="0.25">
      <c r="A18" s="48"/>
      <c r="B18" s="74">
        <v>2</v>
      </c>
      <c r="C18" s="23" t="str">
        <f t="array" ref="C18">INDEX('ORC. SINTÉTICO'!$E:$E,MATCH($B18,'ORC. SINTÉTICO'!$B:$B,0))</f>
        <v>FUNDAÇÃO</v>
      </c>
      <c r="D18" s="75"/>
      <c r="E18" s="76">
        <f t="array" ref="E18">INDEX('ORC. SINTÉTICO'!$N:$N,MATCH($B18,'ORC. SINTÉTICO'!$B:$B,0))</f>
        <v>232805.94999999998</v>
      </c>
      <c r="F18" s="77">
        <f t="shared" si="0"/>
        <v>0.10154919225815827</v>
      </c>
      <c r="G18" s="44"/>
      <c r="H18" s="259"/>
      <c r="I18" s="1"/>
      <c r="J18" s="1"/>
      <c r="K18" s="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4"/>
      <c r="Y18" s="44"/>
      <c r="Z18" s="44"/>
    </row>
    <row r="19" spans="1:26" ht="15" customHeight="1" x14ac:dyDescent="0.25">
      <c r="A19" s="48"/>
      <c r="B19" s="74">
        <v>3</v>
      </c>
      <c r="C19" s="23" t="str">
        <f t="array" ref="C19">INDEX('ORC. SINTÉTICO'!$E:$E,MATCH($B19,'ORC. SINTÉTICO'!$B:$B,0))</f>
        <v>ESTRUTURA</v>
      </c>
      <c r="D19" s="75"/>
      <c r="E19" s="76">
        <f t="array" ref="E19">INDEX('ORC. SINTÉTICO'!$N:$N,MATCH($B19,'ORC. SINTÉTICO'!$B:$B,0))</f>
        <v>329242.87</v>
      </c>
      <c r="F19" s="77">
        <f t="shared" si="0"/>
        <v>0.14361466064444578</v>
      </c>
      <c r="G19" s="44"/>
      <c r="H19" s="259"/>
      <c r="I19" s="1"/>
      <c r="J19" s="1"/>
      <c r="K19" s="1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4"/>
      <c r="Y19" s="44"/>
      <c r="Z19" s="44"/>
    </row>
    <row r="20" spans="1:26" ht="15" customHeight="1" x14ac:dyDescent="0.25">
      <c r="A20" s="48"/>
      <c r="B20" s="74">
        <v>4</v>
      </c>
      <c r="C20" s="23" t="str">
        <f t="array" ref="C20">INDEX('ORC. SINTÉTICO'!$E:$E,MATCH($B20,'ORC. SINTÉTICO'!$B:$B,0))</f>
        <v>ALVENARIA, VEDAÇÕES E DIVISÓRIAS</v>
      </c>
      <c r="D20" s="78"/>
      <c r="E20" s="76">
        <f t="array" ref="E20">INDEX('ORC. SINTÉTICO'!$N:$N,MATCH($B20,'ORC. SINTÉTICO'!$B:$B,0))</f>
        <v>177322.04000000004</v>
      </c>
      <c r="F20" s="77">
        <f t="shared" si="0"/>
        <v>7.7347292590970451E-2</v>
      </c>
      <c r="G20" s="44"/>
      <c r="H20" s="259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/>
      <c r="Y20" s="44"/>
      <c r="Z20" s="44"/>
    </row>
    <row r="21" spans="1:26" ht="15" customHeight="1" x14ac:dyDescent="0.25">
      <c r="A21" s="48"/>
      <c r="B21" s="74">
        <v>5</v>
      </c>
      <c r="C21" s="23" t="str">
        <f t="array" ref="C21">INDEX('ORC. SINTÉTICO'!$E:$E,MATCH($B21,'ORC. SINTÉTICO'!$B:$B,0))</f>
        <v>COBERTURA</v>
      </c>
      <c r="D21" s="75"/>
      <c r="E21" s="76">
        <f t="array" ref="E21">INDEX('ORC. SINTÉTICO'!$N:$N,MATCH($B21,'ORC. SINTÉTICO'!$B:$B,0))</f>
        <v>88308.860000000015</v>
      </c>
      <c r="F21" s="77">
        <f t="shared" si="0"/>
        <v>3.8520035257856536E-2</v>
      </c>
      <c r="G21" s="44"/>
      <c r="H21" s="259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/>
      <c r="Y21" s="44"/>
      <c r="Z21" s="44"/>
    </row>
    <row r="22" spans="1:26" ht="15" customHeight="1" x14ac:dyDescent="0.25">
      <c r="A22" s="48"/>
      <c r="B22" s="74">
        <v>6</v>
      </c>
      <c r="C22" s="23" t="str">
        <f t="array" ref="C22">INDEX('ORC. SINTÉTICO'!$E:$E,MATCH($B22,'ORC. SINTÉTICO'!$B:$B,0))</f>
        <v>IMPERMEABILIZAÇÃO</v>
      </c>
      <c r="D22" s="75"/>
      <c r="E22" s="76">
        <f t="array" ref="E22">INDEX('ORC. SINTÉTICO'!$N:$N,MATCH($B22,'ORC. SINTÉTICO'!$B:$B,0))</f>
        <v>16136.07</v>
      </c>
      <c r="F22" s="77">
        <f t="shared" si="0"/>
        <v>7.0385008403827309E-3</v>
      </c>
      <c r="G22" s="44"/>
      <c r="H22" s="259"/>
      <c r="I22" s="1"/>
      <c r="J22" s="1"/>
      <c r="K22" s="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4"/>
      <c r="Y22" s="44"/>
      <c r="Z22" s="44"/>
    </row>
    <row r="23" spans="1:26" ht="15" customHeight="1" x14ac:dyDescent="0.25">
      <c r="A23" s="48"/>
      <c r="B23" s="74">
        <v>7</v>
      </c>
      <c r="C23" s="23" t="str">
        <f t="array" ref="C23">INDEX('ORC. SINTÉTICO'!$E:$E,MATCH($B23,'ORC. SINTÉTICO'!$B:$B,0))</f>
        <v>ESQUADRIAS</v>
      </c>
      <c r="D23" s="78"/>
      <c r="E23" s="76">
        <f t="array" ref="E23">INDEX('ORC. SINTÉTICO'!$N:$N,MATCH($B23,'ORC. SINTÉTICO'!$B:$B,0))</f>
        <v>164171.54376000003</v>
      </c>
      <c r="F23" s="77">
        <f t="shared" si="0"/>
        <v>7.161108923806668E-2</v>
      </c>
      <c r="G23" s="44"/>
      <c r="H23" s="259"/>
      <c r="I23" s="1"/>
      <c r="J23" s="1"/>
      <c r="K23" s="1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4"/>
      <c r="Y23" s="44"/>
      <c r="Z23" s="44"/>
    </row>
    <row r="24" spans="1:26" ht="15" customHeight="1" x14ac:dyDescent="0.25">
      <c r="A24" s="48"/>
      <c r="B24" s="74">
        <v>8</v>
      </c>
      <c r="C24" s="23" t="str">
        <f t="array" ref="C24">INDEX('ORC. SINTÉTICO'!$E:$E,MATCH($B24,'ORC. SINTÉTICO'!$B:$B,0))</f>
        <v>REVESTIMENTO DE PAREDE</v>
      </c>
      <c r="D24" s="75"/>
      <c r="E24" s="76">
        <f t="array" ref="E24">INDEX('ORC. SINTÉTICO'!$N:$N,MATCH($B24,'ORC. SINTÉTICO'!$B:$B,0))</f>
        <v>73250</v>
      </c>
      <c r="F24" s="77">
        <f t="shared" si="0"/>
        <v>3.1951409888407466E-2</v>
      </c>
      <c r="G24" s="44"/>
      <c r="H24" s="259"/>
      <c r="I24" s="1"/>
      <c r="J24" s="1"/>
      <c r="K24" s="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4"/>
      <c r="Y24" s="44"/>
      <c r="Z24" s="44"/>
    </row>
    <row r="25" spans="1:26" ht="15" customHeight="1" x14ac:dyDescent="0.25">
      <c r="A25" s="48"/>
      <c r="B25" s="74">
        <v>9</v>
      </c>
      <c r="C25" s="23" t="str">
        <f t="array" ref="C25">INDEX('ORC. SINTÉTICO'!$E:$E,MATCH($B25,'ORC. SINTÉTICO'!$B:$B,0))</f>
        <v>REVESTIMENTO DE PISO INTERNO</v>
      </c>
      <c r="D25" s="75"/>
      <c r="E25" s="76">
        <f t="array" ref="E25">INDEX('ORC. SINTÉTICO'!$N:$N,MATCH($B25,'ORC. SINTÉTICO'!$B:$B,0))</f>
        <v>139488.71000000002</v>
      </c>
      <c r="F25" s="77">
        <f t="shared" si="0"/>
        <v>6.0844518061640984E-2</v>
      </c>
      <c r="G25" s="44"/>
      <c r="H25" s="259"/>
      <c r="I25" s="1"/>
      <c r="J25" s="1"/>
      <c r="K25" s="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4"/>
      <c r="Y25" s="44"/>
      <c r="Z25" s="44"/>
    </row>
    <row r="26" spans="1:26" ht="15" customHeight="1" x14ac:dyDescent="0.25">
      <c r="A26" s="48"/>
      <c r="B26" s="74">
        <v>10</v>
      </c>
      <c r="C26" s="23" t="str">
        <f t="array" ref="C26">INDEX('ORC. SINTÉTICO'!$E:$E,MATCH($B26,'ORC. SINTÉTICO'!$B:$B,0))</f>
        <v>REVESTIMENTO DE PISO EXTERNO</v>
      </c>
      <c r="D26" s="75"/>
      <c r="E26" s="76">
        <f t="array" ref="E26">INDEX('ORC. SINTÉTICO'!$N:$N,MATCH($B26,'ORC. SINTÉTICO'!$B:$B,0))</f>
        <v>17687.439999999999</v>
      </c>
      <c r="F26" s="77">
        <f t="shared" si="0"/>
        <v>7.7152033490322687E-3</v>
      </c>
      <c r="G26" s="44"/>
      <c r="H26" s="259"/>
      <c r="I26" s="1"/>
      <c r="J26" s="1"/>
      <c r="K26" s="1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/>
      <c r="Y26" s="44"/>
      <c r="Z26" s="44"/>
    </row>
    <row r="27" spans="1:26" ht="15" customHeight="1" x14ac:dyDescent="0.25">
      <c r="A27" s="48"/>
      <c r="B27" s="74">
        <v>11</v>
      </c>
      <c r="C27" s="23" t="str">
        <f t="array" ref="C27">INDEX('ORC. SINTÉTICO'!$E:$E,MATCH($B27,'ORC. SINTÉTICO'!$B:$B,0))</f>
        <v>REVESTIMENTO DE TETO</v>
      </c>
      <c r="D27" s="75"/>
      <c r="E27" s="76">
        <f t="array" ref="E27">INDEX('ORC. SINTÉTICO'!$N:$N,MATCH($B27,'ORC. SINTÉTICO'!$B:$B,0))</f>
        <v>31931.69</v>
      </c>
      <c r="F27" s="77">
        <f t="shared" si="0"/>
        <v>1.3928498506751697E-2</v>
      </c>
      <c r="G27" s="44"/>
      <c r="H27" s="259"/>
      <c r="I27" s="1"/>
      <c r="J27" s="1"/>
      <c r="K27" s="1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4"/>
      <c r="Y27" s="44"/>
      <c r="Z27" s="44"/>
    </row>
    <row r="28" spans="1:26" ht="15" customHeight="1" x14ac:dyDescent="0.25">
      <c r="A28" s="48"/>
      <c r="B28" s="74">
        <v>12</v>
      </c>
      <c r="C28" s="23" t="str">
        <f t="array" ref="C28">INDEX('ORC. SINTÉTICO'!$E:$E,MATCH($B28,'ORC. SINTÉTICO'!$B:$B,0))</f>
        <v>PINTURA</v>
      </c>
      <c r="D28" s="75"/>
      <c r="E28" s="76">
        <f t="array" ref="E28">INDEX('ORC. SINTÉTICO'!$N:$N,MATCH($B28,'ORC. SINTÉTICO'!$B:$B,0))</f>
        <v>87934.5</v>
      </c>
      <c r="F28" s="77">
        <f t="shared" si="0"/>
        <v>3.8356740652998857E-2</v>
      </c>
      <c r="G28" s="44"/>
      <c r="H28" s="259"/>
      <c r="I28" s="1"/>
      <c r="J28" s="1"/>
      <c r="K28" s="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4"/>
      <c r="Y28" s="44"/>
      <c r="Z28" s="44"/>
    </row>
    <row r="29" spans="1:26" ht="15" customHeight="1" x14ac:dyDescent="0.25">
      <c r="A29" s="48"/>
      <c r="B29" s="74">
        <v>13</v>
      </c>
      <c r="C29" s="23" t="str">
        <f t="array" ref="C29">INDEX('ORC. SINTÉTICO'!$E:$E,MATCH($B29,'ORC. SINTÉTICO'!$B:$B,0))</f>
        <v>MARMORARIA</v>
      </c>
      <c r="D29" s="75"/>
      <c r="E29" s="76">
        <f t="array" ref="E29">INDEX('ORC. SINTÉTICO'!$N:$N,MATCH($B29,'ORC. SINTÉTICO'!$B:$B,0))</f>
        <v>15753.87</v>
      </c>
      <c r="F29" s="77">
        <f t="shared" si="0"/>
        <v>6.8717864532243786E-3</v>
      </c>
      <c r="G29" s="44"/>
      <c r="H29" s="259"/>
      <c r="I29" s="1"/>
      <c r="J29" s="1"/>
      <c r="K29" s="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/>
      <c r="Y29" s="44"/>
      <c r="Z29" s="44"/>
    </row>
    <row r="30" spans="1:26" ht="15" customHeight="1" x14ac:dyDescent="0.25">
      <c r="A30" s="48"/>
      <c r="B30" s="74">
        <v>14</v>
      </c>
      <c r="C30" s="23" t="str">
        <f t="array" ref="C30">INDEX('ORC. SINTÉTICO'!$E:$E,MATCH($B30,'ORC. SINTÉTICO'!$B:$B,0))</f>
        <v>LOUÇAS, METAIS E ACESSÓRIOS</v>
      </c>
      <c r="D30" s="75"/>
      <c r="E30" s="76">
        <f t="array" ref="E30">INDEX('ORC. SINTÉTICO'!$N:$N,MATCH($B30,'ORC. SINTÉTICO'!$B:$B,0))</f>
        <v>52369.226487999986</v>
      </c>
      <c r="F30" s="77">
        <f t="shared" si="0"/>
        <v>2.2843284929104885E-2</v>
      </c>
      <c r="G30" s="44"/>
      <c r="H30" s="259"/>
      <c r="I30" s="1"/>
      <c r="J30" s="1"/>
      <c r="K30" s="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/>
      <c r="Y30" s="44"/>
      <c r="Z30" s="44"/>
    </row>
    <row r="31" spans="1:26" ht="15" customHeight="1" x14ac:dyDescent="0.25">
      <c r="A31" s="48"/>
      <c r="B31" s="74">
        <v>15</v>
      </c>
      <c r="C31" s="23" t="str">
        <f t="array" ref="C31">INDEX('ORC. SINTÉTICO'!$E:$E,MATCH($B31,'ORC. SINTÉTICO'!$B:$B,0))</f>
        <v>INSTALAÇÕES HIDROSSANITÁRIAS</v>
      </c>
      <c r="D31" s="75"/>
      <c r="E31" s="76">
        <f t="array" ref="E31">INDEX('ORC. SINTÉTICO'!$N:$N,MATCH($B31,'ORC. SINTÉTICO'!$B:$B,0))</f>
        <v>175692.37807062399</v>
      </c>
      <c r="F31" s="77">
        <f t="shared" si="0"/>
        <v>7.6636439399365985E-2</v>
      </c>
      <c r="G31" s="44"/>
      <c r="H31" s="259"/>
      <c r="I31" s="1"/>
      <c r="J31" s="1"/>
      <c r="K31" s="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/>
      <c r="Y31" s="44"/>
      <c r="Z31" s="44"/>
    </row>
    <row r="32" spans="1:26" ht="15" customHeight="1" x14ac:dyDescent="0.25">
      <c r="A32" s="48"/>
      <c r="B32" s="74">
        <v>16</v>
      </c>
      <c r="C32" s="23" t="str">
        <f t="array" ref="C32">INDEX('ORC. SINTÉTICO'!$E:$E,MATCH($B32,'ORC. SINTÉTICO'!$B:$B,0))</f>
        <v>INSTALAÇÕES ELÉTRICAS</v>
      </c>
      <c r="D32" s="75"/>
      <c r="E32" s="76">
        <f t="array" ref="E32">INDEX('ORC. SINTÉTICO'!$N:$N,MATCH($B32,'ORC. SINTÉTICO'!$B:$B,0))</f>
        <v>287072.08409280004</v>
      </c>
      <c r="F32" s="77">
        <f t="shared" si="0"/>
        <v>0.12521990206646322</v>
      </c>
      <c r="G32" s="44"/>
      <c r="H32" s="259"/>
      <c r="I32" s="1"/>
      <c r="J32" s="1"/>
      <c r="K32" s="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/>
      <c r="Y32" s="44"/>
      <c r="Z32" s="44"/>
    </row>
    <row r="33" spans="1:26" ht="15" customHeight="1" x14ac:dyDescent="0.25">
      <c r="A33" s="48"/>
      <c r="B33" s="74">
        <v>17</v>
      </c>
      <c r="C33" s="23" t="str">
        <f t="array" ref="C33">INDEX('ORC. SINTÉTICO'!$E:$E,MATCH($B33,'ORC. SINTÉTICO'!$B:$B,0))</f>
        <v>CLIMATIZAÇÃO</v>
      </c>
      <c r="D33" s="75"/>
      <c r="E33" s="76">
        <f t="array" ref="E33">INDEX('ORC. SINTÉTICO'!$N:$N,MATCH($B33,'ORC. SINTÉTICO'!$B:$B,0))</f>
        <v>67220.950023999991</v>
      </c>
      <c r="F33" s="77">
        <f t="shared" si="0"/>
        <v>2.9321558051945085E-2</v>
      </c>
      <c r="G33" s="44"/>
      <c r="H33" s="259"/>
      <c r="I33" s="1"/>
      <c r="J33" s="1"/>
      <c r="K33" s="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4"/>
      <c r="Y33" s="44"/>
      <c r="Z33" s="44"/>
    </row>
    <row r="34" spans="1:26" ht="15" customHeight="1" x14ac:dyDescent="0.25">
      <c r="A34" s="48"/>
      <c r="B34" s="74">
        <v>18</v>
      </c>
      <c r="C34" s="23" t="str">
        <f t="array" ref="C34">INDEX('ORC. SINTÉTICO'!$E:$E,MATCH($B34,'ORC. SINTÉTICO'!$B:$B,0))</f>
        <v>DADOS E VOZ</v>
      </c>
      <c r="D34" s="75"/>
      <c r="E34" s="76">
        <f t="array" ref="E34">INDEX('ORC. SINTÉTICO'!$N:$N,MATCH($B34,'ORC. SINTÉTICO'!$B:$B,0))</f>
        <v>8839.880000000001</v>
      </c>
      <c r="F34" s="77">
        <f t="shared" si="0"/>
        <v>3.855926679103555E-3</v>
      </c>
      <c r="G34" s="44"/>
      <c r="H34" s="259"/>
      <c r="I34" s="1"/>
      <c r="J34" s="1"/>
      <c r="K34" s="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4"/>
      <c r="Y34" s="44"/>
      <c r="Z34" s="44"/>
    </row>
    <row r="35" spans="1:26" ht="15" customHeight="1" x14ac:dyDescent="0.25">
      <c r="A35" s="48"/>
      <c r="B35" s="74">
        <v>19</v>
      </c>
      <c r="C35" s="23" t="str">
        <f t="array" ref="C35">INDEX('ORC. SINTÉTICO'!$E:$E,MATCH($B35,'ORC. SINTÉTICO'!$B:$B,0))</f>
        <v>GASES MEDICINAIS</v>
      </c>
      <c r="D35" s="75"/>
      <c r="E35" s="76">
        <f t="array" ref="E35">INDEX('ORC. SINTÉTICO'!$N:$N,MATCH($B35,'ORC. SINTÉTICO'!$B:$B,0))</f>
        <v>20195.985400000001</v>
      </c>
      <c r="F35" s="77">
        <f t="shared" si="0"/>
        <v>8.8094226295657736E-3</v>
      </c>
      <c r="G35" s="44"/>
      <c r="H35" s="259"/>
      <c r="I35" s="1"/>
      <c r="J35" s="1"/>
      <c r="K35" s="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4"/>
      <c r="Y35" s="44"/>
      <c r="Z35" s="44"/>
    </row>
    <row r="36" spans="1:26" ht="15" customHeight="1" x14ac:dyDescent="0.25">
      <c r="A36" s="48"/>
      <c r="B36" s="74">
        <v>20</v>
      </c>
      <c r="C36" s="23" t="str">
        <f t="array" ref="C36">INDEX('ORC. SINTÉTICO'!$E:$E,MATCH($B36,'ORC. SINTÉTICO'!$B:$B,0))</f>
        <v>URBANIZAÇÃO</v>
      </c>
      <c r="D36" s="75"/>
      <c r="E36" s="76">
        <f t="array" ref="E36">INDEX('ORC. SINTÉTICO'!$N:$N,MATCH($B36,'ORC. SINTÉTICO'!$B:$B,0))</f>
        <v>12127.869999999999</v>
      </c>
      <c r="F36" s="77">
        <f t="shared" si="0"/>
        <v>5.2901371391579554E-3</v>
      </c>
      <c r="G36" s="44"/>
      <c r="H36" s="259"/>
      <c r="I36" s="1"/>
      <c r="J36" s="1"/>
      <c r="K36" s="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4"/>
      <c r="Y36" s="44"/>
      <c r="Z36" s="44"/>
    </row>
    <row r="37" spans="1:26" ht="15" customHeight="1" x14ac:dyDescent="0.25">
      <c r="A37" s="48"/>
      <c r="B37" s="74">
        <v>21</v>
      </c>
      <c r="C37" s="23" t="str">
        <f t="array" ref="C37">INDEX('ORC. SINTÉTICO'!$E:$E,MATCH($B37,'ORC. SINTÉTICO'!$B:$B,0))</f>
        <v>SERVIÇOS COMPLEMENTARES</v>
      </c>
      <c r="D37" s="75"/>
      <c r="E37" s="76">
        <f t="array" ref="E37">INDEX('ORC. SINTÉTICO'!$N:$N,MATCH($B37,'ORC. SINTÉTICO'!$B:$B,0))</f>
        <v>146833.81000000006</v>
      </c>
      <c r="F37" s="77">
        <f t="shared" si="0"/>
        <v>6.4048426604594463E-2</v>
      </c>
      <c r="G37" s="44"/>
      <c r="H37" s="218"/>
      <c r="I37" s="1"/>
      <c r="J37" s="1"/>
      <c r="K37" s="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4"/>
      <c r="Y37" s="44"/>
      <c r="Z37" s="44"/>
    </row>
    <row r="38" spans="1:26" ht="15" customHeight="1" x14ac:dyDescent="0.25">
      <c r="A38" s="66"/>
      <c r="B38" s="72"/>
      <c r="C38" s="79"/>
      <c r="D38" s="79"/>
      <c r="E38" s="72"/>
      <c r="F38" s="72"/>
      <c r="G38" s="44"/>
      <c r="H38" s="218"/>
      <c r="I38" s="1"/>
      <c r="J38" s="1"/>
      <c r="K38" s="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" customHeight="1" x14ac:dyDescent="0.25">
      <c r="A39" s="66"/>
      <c r="B39" s="366" t="s">
        <v>24</v>
      </c>
      <c r="C39" s="367"/>
      <c r="D39" s="80"/>
      <c r="E39" s="80">
        <f>SUBTOTAL(9,E17:E37)</f>
        <v>2292543.5921554244</v>
      </c>
      <c r="F39" s="70">
        <f>SUBTOTAL(9,F17:F37)</f>
        <v>0.99999999999999989</v>
      </c>
      <c r="G39" s="44"/>
      <c r="H39" s="218"/>
      <c r="I39" s="81"/>
      <c r="J39" s="256"/>
      <c r="K39" s="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" customHeight="1" x14ac:dyDescent="0.25">
      <c r="A40" s="66"/>
      <c r="B40" s="65"/>
      <c r="C40" s="65"/>
      <c r="D40" s="65"/>
      <c r="E40" s="65"/>
      <c r="F40" s="65"/>
      <c r="G40" s="44"/>
      <c r="H40" s="218"/>
      <c r="I40" s="81"/>
      <c r="J40" s="256"/>
      <c r="K40" s="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" customHeight="1" x14ac:dyDescent="0.25">
      <c r="A41" s="48"/>
      <c r="B41" s="82" t="s">
        <v>25</v>
      </c>
      <c r="C41" s="83"/>
      <c r="D41" s="83"/>
      <c r="E41" s="83"/>
      <c r="F41" s="84"/>
      <c r="G41" s="44"/>
      <c r="H41" s="48"/>
      <c r="I41" s="256"/>
      <c r="J41" s="256"/>
      <c r="K41" s="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" customHeight="1" x14ac:dyDescent="0.25">
      <c r="A42" s="48"/>
      <c r="B42" s="390" t="s">
        <v>1414</v>
      </c>
      <c r="C42" s="391"/>
      <c r="D42" s="391"/>
      <c r="E42" s="391"/>
      <c r="F42" s="392"/>
      <c r="G42" s="44"/>
      <c r="H42" s="85"/>
      <c r="I42" s="1"/>
      <c r="J42" s="1"/>
      <c r="K42" s="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 x14ac:dyDescent="0.25">
      <c r="A43" s="48"/>
      <c r="B43" s="393"/>
      <c r="C43" s="394"/>
      <c r="D43" s="394"/>
      <c r="E43" s="394"/>
      <c r="F43" s="395"/>
      <c r="G43" s="44"/>
      <c r="H43" s="48"/>
      <c r="I43" s="1"/>
      <c r="J43" s="1"/>
      <c r="K43" s="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" customHeight="1" x14ac:dyDescent="0.25">
      <c r="A44" s="44"/>
      <c r="B44" s="44"/>
      <c r="C44" s="44"/>
      <c r="D44" s="44"/>
      <c r="E44" s="44"/>
      <c r="F44" s="44"/>
      <c r="G44" s="44"/>
      <c r="H44" s="44"/>
      <c r="I44" s="256"/>
      <c r="J44" s="1"/>
      <c r="K44" s="1"/>
      <c r="L44" s="48"/>
      <c r="M44" s="48"/>
      <c r="N44" s="48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" customHeight="1" x14ac:dyDescent="0.25">
      <c r="A45" s="48"/>
      <c r="B45" s="86"/>
      <c r="C45" s="87"/>
      <c r="D45" s="87"/>
      <c r="E45" s="87"/>
      <c r="F45" s="88"/>
      <c r="G45" s="44"/>
      <c r="H45" s="48"/>
      <c r="I45" s="256"/>
      <c r="J45" s="1"/>
      <c r="K45" s="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" customHeight="1" x14ac:dyDescent="0.25">
      <c r="A46" s="48"/>
      <c r="B46" s="89"/>
      <c r="C46" s="66"/>
      <c r="D46" s="66"/>
      <c r="E46" s="66"/>
      <c r="F46" s="90"/>
      <c r="G46" s="44"/>
      <c r="H46" s="48"/>
      <c r="I46" s="1"/>
      <c r="J46" s="1"/>
      <c r="K46" s="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" customHeight="1" x14ac:dyDescent="0.25">
      <c r="A47" s="48"/>
      <c r="B47" s="89"/>
      <c r="C47" s="66"/>
      <c r="D47" s="66"/>
      <c r="E47" s="66"/>
      <c r="F47" s="90"/>
      <c r="G47" s="44"/>
      <c r="H47" s="48"/>
      <c r="I47" s="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" customHeight="1" x14ac:dyDescent="0.25">
      <c r="A48" s="48"/>
      <c r="B48" s="89"/>
      <c r="C48" s="66"/>
      <c r="D48" s="66"/>
      <c r="E48" s="66"/>
      <c r="F48" s="90"/>
      <c r="G48" s="44"/>
      <c r="H48" s="48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" customHeight="1" x14ac:dyDescent="0.25">
      <c r="A49" s="48"/>
      <c r="B49" s="368" t="s">
        <v>14</v>
      </c>
      <c r="C49" s="350"/>
      <c r="D49" s="350"/>
      <c r="E49" s="350"/>
      <c r="F49" s="351"/>
      <c r="G49" s="44"/>
      <c r="H49" s="48"/>
      <c r="I49" s="49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" customHeight="1" x14ac:dyDescent="0.25">
      <c r="A50" s="48"/>
      <c r="B50" s="369" t="str">
        <f>'DADOS GERAIS'!C24</f>
        <v>Gerrard Tayon Ferreira Lopo</v>
      </c>
      <c r="C50" s="350"/>
      <c r="D50" s="350"/>
      <c r="E50" s="350"/>
      <c r="F50" s="351"/>
      <c r="G50" s="44"/>
      <c r="H50" s="48"/>
      <c r="I50" s="49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" customHeight="1" x14ac:dyDescent="0.25">
      <c r="A51" s="48"/>
      <c r="B51" s="365" t="str">
        <f>'DADOS GERAIS'!C25</f>
        <v>Engenheiro Civil  - CREA MG 289963</v>
      </c>
      <c r="C51" s="350"/>
      <c r="D51" s="350"/>
      <c r="E51" s="350"/>
      <c r="F51" s="351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" customHeight="1" x14ac:dyDescent="0.25">
      <c r="A52" s="48"/>
      <c r="B52" s="91"/>
      <c r="C52" s="42"/>
      <c r="D52" s="42"/>
      <c r="E52" s="42"/>
      <c r="F52" s="43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 x14ac:dyDescent="0.25">
      <c r="A53" s="48"/>
      <c r="B53" s="65"/>
      <c r="C53" s="4"/>
      <c r="D53" s="4"/>
      <c r="E53" s="4"/>
      <c r="F53" s="4"/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5">
      <c r="A54" s="44"/>
      <c r="B54" s="44"/>
      <c r="C54" s="44"/>
      <c r="D54" s="44"/>
      <c r="E54" s="44"/>
      <c r="F54" s="44"/>
      <c r="G54" s="44"/>
      <c r="H54" s="44"/>
      <c r="I54" s="45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5">
      <c r="A55" s="44"/>
      <c r="B55" s="44"/>
      <c r="C55" s="44"/>
      <c r="D55" s="44"/>
      <c r="E55" s="44"/>
      <c r="F55" s="44"/>
      <c r="G55" s="44"/>
      <c r="H55" s="44"/>
      <c r="I55" s="45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5">
      <c r="A56" s="44"/>
      <c r="B56" s="44"/>
      <c r="C56" s="44"/>
      <c r="D56" s="44"/>
      <c r="E56" s="44"/>
      <c r="F56" s="44"/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5">
      <c r="A57" s="44"/>
      <c r="B57" s="44"/>
      <c r="C57" s="44"/>
      <c r="D57" s="44"/>
      <c r="E57" s="44"/>
      <c r="F57" s="4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5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5">
      <c r="A59" s="44"/>
      <c r="B59" s="44"/>
      <c r="C59" s="44"/>
      <c r="D59" s="92"/>
      <c r="E59" s="92"/>
      <c r="F59" s="92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5">
      <c r="A60" s="44"/>
      <c r="B60" s="44"/>
      <c r="C60" s="44"/>
      <c r="D60" s="93"/>
      <c r="E60" s="93"/>
      <c r="F60" s="93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5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5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5">
      <c r="A63" s="44"/>
      <c r="B63" s="44"/>
      <c r="C63" s="44"/>
      <c r="D63" s="44"/>
      <c r="E63" s="44"/>
      <c r="F63" s="44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5">
      <c r="A64" s="44"/>
      <c r="B64" s="44"/>
      <c r="C64" s="44"/>
      <c r="D64" s="44"/>
      <c r="E64" s="44"/>
      <c r="F64" s="44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5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5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5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5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5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5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5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5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5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5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5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5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5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5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x14ac:dyDescent="0.25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x14ac:dyDescent="0.25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x14ac:dyDescent="0.25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x14ac:dyDescent="0.25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x14ac:dyDescent="0.25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x14ac:dyDescent="0.25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x14ac:dyDescent="0.25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x14ac:dyDescent="0.25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x14ac:dyDescent="0.25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x14ac:dyDescent="0.25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x14ac:dyDescent="0.25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x14ac:dyDescent="0.25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x14ac:dyDescent="0.25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x14ac:dyDescent="0.25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x14ac:dyDescent="0.25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x14ac:dyDescent="0.25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x14ac:dyDescent="0.25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25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x14ac:dyDescent="0.25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x14ac:dyDescent="0.25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x14ac:dyDescent="0.25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x14ac:dyDescent="0.25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x14ac:dyDescent="0.25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FBFBF"/>
    <outlinePr summaryBelow="0"/>
    <pageSetUpPr fitToPage="1"/>
  </sheetPr>
  <dimension ref="A1:AJ534"/>
  <sheetViews>
    <sheetView showGridLines="0" zoomScale="80" zoomScaleNormal="80" workbookViewId="0">
      <pane ySplit="20" topLeftCell="A21" activePane="bottomLeft" state="frozen"/>
      <selection activeCell="C20" sqref="C20"/>
      <selection pane="bottomLeft" activeCell="E26" sqref="E26"/>
    </sheetView>
  </sheetViews>
  <sheetFormatPr defaultColWidth="12.59765625" defaultRowHeight="15" customHeight="1" x14ac:dyDescent="0.25"/>
  <cols>
    <col min="1" max="1" width="7.19921875" style="213" customWidth="1"/>
    <col min="2" max="2" width="10.59765625" style="213" customWidth="1"/>
    <col min="3" max="3" width="15.19921875" style="213" customWidth="1"/>
    <col min="4" max="4" width="15" style="213" customWidth="1"/>
    <col min="5" max="5" width="99.5" style="213" customWidth="1"/>
    <col min="6" max="6" width="8.5" style="213" customWidth="1"/>
    <col min="7" max="7" width="11.3984375" style="214" customWidth="1"/>
    <col min="8" max="8" width="17.3984375" style="213" customWidth="1"/>
    <col min="9" max="13" width="14.69921875" style="213" customWidth="1"/>
    <col min="14" max="14" width="19.8984375" style="213" bestFit="1" customWidth="1"/>
    <col min="15" max="15" width="14.5" style="213" customWidth="1"/>
    <col min="16" max="16" width="16" style="213" customWidth="1"/>
    <col min="17" max="17" width="17.09765625" style="213" customWidth="1"/>
    <col min="18" max="19" width="15.09765625" style="213" customWidth="1"/>
    <col min="20" max="20" width="7.59765625" style="213" customWidth="1"/>
    <col min="21" max="21" width="17.8984375" style="213" customWidth="1"/>
    <col min="22" max="34" width="7.59765625" style="213" customWidth="1"/>
    <col min="35" max="16384" width="12.59765625" style="213"/>
  </cols>
  <sheetData>
    <row r="1" spans="1:36" ht="18.75" customHeight="1" x14ac:dyDescent="0.25">
      <c r="A1" s="94"/>
      <c r="B1" s="95"/>
      <c r="C1" s="96"/>
      <c r="D1" s="97"/>
      <c r="E1" s="97"/>
      <c r="F1" s="98"/>
      <c r="G1" s="204"/>
      <c r="H1" s="98"/>
      <c r="I1" s="100"/>
      <c r="J1" s="100"/>
      <c r="K1" s="100"/>
      <c r="L1" s="48"/>
      <c r="M1" s="99"/>
      <c r="N1" s="4"/>
      <c r="O1" s="4"/>
      <c r="P1" s="4"/>
      <c r="Q1" s="4"/>
      <c r="R1" s="101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4"/>
      <c r="AJ1" s="44"/>
    </row>
    <row r="2" spans="1:36" ht="18.75" customHeight="1" x14ac:dyDescent="0.25">
      <c r="A2" s="94"/>
      <c r="B2" s="403" t="s">
        <v>26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99"/>
      <c r="Q2" s="4"/>
      <c r="R2" s="4"/>
      <c r="S2" s="4"/>
      <c r="T2" s="4"/>
      <c r="U2" s="101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18.75" customHeight="1" x14ac:dyDescent="0.25">
      <c r="A3" s="94"/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8"/>
      <c r="P3" s="99"/>
      <c r="Q3" s="4"/>
      <c r="R3" s="4"/>
      <c r="S3" s="4"/>
      <c r="T3" s="4"/>
      <c r="U3" s="101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8.75" customHeight="1" x14ac:dyDescent="0.25">
      <c r="A4" s="94"/>
      <c r="B4" s="406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8"/>
      <c r="P4" s="99"/>
      <c r="Q4" s="4"/>
      <c r="R4" s="4"/>
      <c r="S4" s="4"/>
      <c r="T4" s="4"/>
      <c r="U4" s="101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8.75" customHeight="1" x14ac:dyDescent="0.25">
      <c r="A5" s="94"/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8"/>
      <c r="P5" s="99"/>
      <c r="Q5" s="4"/>
      <c r="R5" s="4"/>
      <c r="S5" s="4"/>
      <c r="T5" s="4"/>
      <c r="U5" s="101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8.75" customHeight="1" x14ac:dyDescent="0.25">
      <c r="A6" s="94"/>
      <c r="B6" s="409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1"/>
      <c r="P6" s="99"/>
      <c r="Q6" s="4"/>
      <c r="R6" s="4"/>
      <c r="S6" s="4"/>
      <c r="T6" s="4"/>
      <c r="U6" s="101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5" customHeight="1" x14ac:dyDescent="0.25">
      <c r="A7" s="94"/>
      <c r="B7" s="95"/>
      <c r="C7" s="96"/>
      <c r="D7" s="4"/>
      <c r="E7" s="97"/>
      <c r="F7" s="4"/>
      <c r="G7" s="204"/>
      <c r="H7" s="4"/>
      <c r="I7" s="4"/>
      <c r="J7" s="99"/>
      <c r="K7" s="98"/>
      <c r="L7" s="48"/>
      <c r="M7" s="48"/>
      <c r="N7" s="48"/>
      <c r="O7" s="48"/>
      <c r="P7" s="99"/>
      <c r="Q7" s="4"/>
      <c r="R7" s="4"/>
      <c r="S7" s="4"/>
      <c r="T7" s="4"/>
      <c r="U7" s="101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5" customHeight="1" x14ac:dyDescent="0.25">
      <c r="A8" s="94"/>
      <c r="B8" s="102" t="str">
        <f>'DADOS GERAIS'!$B$8</f>
        <v>Secretaria de Atenção Especializada à Saúde</v>
      </c>
      <c r="C8" s="103"/>
      <c r="D8" s="6"/>
      <c r="E8" s="339"/>
      <c r="F8" s="6"/>
      <c r="G8" s="205"/>
      <c r="H8" s="6"/>
      <c r="I8" s="6"/>
      <c r="J8" s="104"/>
      <c r="K8" s="6" t="str">
        <f>RESUMO!D8</f>
        <v>BDI Geral:</v>
      </c>
      <c r="L8" s="105"/>
      <c r="M8" s="6" t="str">
        <f>RESUMO!E8</f>
        <v>Encargo Social Mensalista:</v>
      </c>
      <c r="N8" s="105"/>
      <c r="O8" s="53" t="str">
        <f>'DADOS GERAIS'!$B$22</f>
        <v>Data:</v>
      </c>
      <c r="P8" s="99"/>
      <c r="Q8" s="4"/>
      <c r="R8" s="4"/>
      <c r="S8" s="4"/>
      <c r="T8" s="4"/>
      <c r="U8" s="101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ht="15" customHeight="1" x14ac:dyDescent="0.25">
      <c r="A9" s="94"/>
      <c r="B9" s="340" t="str">
        <f>'DADOS GERAIS'!$B$9</f>
        <v>Unidade Básica de Saúde Porte 1 - Área Construída: 389,78m²</v>
      </c>
      <c r="C9" s="106"/>
      <c r="D9" s="9"/>
      <c r="E9" s="111"/>
      <c r="F9" s="44"/>
      <c r="G9" s="206"/>
      <c r="H9" s="44"/>
      <c r="I9" s="44"/>
      <c r="J9" s="45"/>
      <c r="K9" s="108">
        <v>0.24879999999999999</v>
      </c>
      <c r="L9" s="107"/>
      <c r="M9" s="108">
        <f>'BDI '!E9</f>
        <v>0.71460000000000001</v>
      </c>
      <c r="N9" s="107"/>
      <c r="O9" s="57" t="s">
        <v>1737</v>
      </c>
      <c r="P9" s="99"/>
      <c r="Q9" s="4"/>
      <c r="R9" s="4"/>
      <c r="S9" s="4"/>
      <c r="T9" s="4"/>
      <c r="U9" s="101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5" customHeight="1" x14ac:dyDescent="0.25">
      <c r="A10" s="94"/>
      <c r="B10" s="60" t="str">
        <f>RESUMO!B11</f>
        <v>Bancos:</v>
      </c>
      <c r="C10" s="106"/>
      <c r="D10" s="9"/>
      <c r="E10" s="111"/>
      <c r="F10" s="9"/>
      <c r="G10" s="207"/>
      <c r="H10" s="9"/>
      <c r="I10" s="9"/>
      <c r="J10" s="109"/>
      <c r="K10" s="9" t="str">
        <f>RESUMO!D11</f>
        <v>BDI Equipamentos:</v>
      </c>
      <c r="L10" s="44"/>
      <c r="M10" s="111" t="str">
        <f>RESUMO!E11</f>
        <v>Encargo Social Horista:</v>
      </c>
      <c r="N10" s="44"/>
      <c r="O10" s="59" t="str">
        <f>'DADOS GERAIS'!$B$23</f>
        <v>Revisão:</v>
      </c>
      <c r="P10" s="99"/>
      <c r="Q10" s="4"/>
      <c r="R10" s="4"/>
      <c r="S10" s="4"/>
      <c r="T10" s="4"/>
      <c r="U10" s="101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5" customHeight="1" x14ac:dyDescent="0.25">
      <c r="A11" s="297"/>
      <c r="B11" s="384" t="s">
        <v>1741</v>
      </c>
      <c r="C11" s="385"/>
      <c r="D11" s="385"/>
      <c r="E11" s="385"/>
      <c r="F11" s="9"/>
      <c r="G11" s="207"/>
      <c r="H11" s="300"/>
      <c r="I11" s="9"/>
      <c r="J11" s="109"/>
      <c r="K11" s="108">
        <f>'BDI '!D12</f>
        <v>0.15599027382875574</v>
      </c>
      <c r="L11" s="44"/>
      <c r="M11" s="108">
        <v>1.1554</v>
      </c>
      <c r="N11" s="44"/>
      <c r="O11" s="298"/>
      <c r="P11" s="99"/>
      <c r="Q11" s="4"/>
      <c r="R11" s="4"/>
      <c r="S11" s="4"/>
      <c r="T11" s="4"/>
      <c r="U11" s="101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15" customHeight="1" x14ac:dyDescent="0.25">
      <c r="A12" s="297"/>
      <c r="B12" s="361" t="s">
        <v>1742</v>
      </c>
      <c r="C12" s="362"/>
      <c r="D12" s="362"/>
      <c r="E12" s="362"/>
      <c r="F12" s="9"/>
      <c r="G12" s="207"/>
      <c r="I12" s="300"/>
      <c r="J12" s="109"/>
      <c r="K12" s="9"/>
      <c r="L12" s="44"/>
      <c r="M12" s="111"/>
      <c r="N12" s="44"/>
      <c r="O12" s="298"/>
      <c r="P12" s="99"/>
      <c r="Q12" s="4"/>
      <c r="R12" s="4"/>
      <c r="S12" s="4"/>
      <c r="T12" s="4"/>
      <c r="U12" s="101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6" ht="15" customHeight="1" x14ac:dyDescent="0.25">
      <c r="A13" s="297"/>
      <c r="B13" s="361"/>
      <c r="C13" s="362"/>
      <c r="D13" s="362"/>
      <c r="E13" s="362"/>
      <c r="F13" s="9"/>
      <c r="G13" s="207"/>
      <c r="H13" s="300"/>
      <c r="I13" s="9"/>
      <c r="J13" s="109"/>
      <c r="K13" s="9"/>
      <c r="L13" s="44"/>
      <c r="M13" s="111"/>
      <c r="N13" s="44"/>
      <c r="O13" s="298"/>
      <c r="P13" s="99"/>
      <c r="Q13" s="4"/>
      <c r="R13" s="4"/>
      <c r="S13" s="4"/>
      <c r="T13" s="4"/>
      <c r="U13" s="10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6" ht="15" customHeight="1" x14ac:dyDescent="0.25">
      <c r="A14" s="94"/>
      <c r="B14" s="361"/>
      <c r="C14" s="362"/>
      <c r="D14" s="362"/>
      <c r="E14" s="362"/>
      <c r="F14" s="9"/>
      <c r="G14" s="207"/>
      <c r="H14" s="9"/>
      <c r="I14" s="9"/>
      <c r="J14" s="109"/>
      <c r="K14" s="108"/>
      <c r="L14" s="113"/>
      <c r="M14" s="108"/>
      <c r="N14" s="113"/>
      <c r="O14" s="114"/>
      <c r="P14" s="99"/>
      <c r="Q14" s="4"/>
      <c r="R14" s="4"/>
      <c r="S14" s="4"/>
      <c r="T14" s="4"/>
      <c r="U14" s="10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5" customHeight="1" x14ac:dyDescent="0.25">
      <c r="A15" s="297"/>
      <c r="B15" s="341" t="str">
        <f>'[1]DADOS GERAIS'!$B$12</f>
        <v>SINAPI (11/2024) - CPOS/CDHU (01/2025) - SBC (01/2025) - ORSE (10/2024) - IOPES (08/2024) - EMOP (11/2024) - SEINFRA (028)</v>
      </c>
      <c r="C15" s="106"/>
      <c r="D15" s="9"/>
      <c r="E15" s="111"/>
      <c r="F15" s="9"/>
      <c r="G15" s="207"/>
      <c r="H15" s="9"/>
      <c r="I15" s="9"/>
      <c r="J15" s="109"/>
      <c r="K15" s="108"/>
      <c r="L15" s="113"/>
      <c r="M15" s="108"/>
      <c r="N15" s="113"/>
      <c r="O15" s="299"/>
      <c r="P15" s="99"/>
      <c r="Q15" s="4"/>
      <c r="R15" s="4"/>
      <c r="S15" s="4"/>
      <c r="T15" s="4"/>
      <c r="U15" s="10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5" customHeight="1" x14ac:dyDescent="0.25">
      <c r="A16" s="94"/>
      <c r="B16" s="363" t="s">
        <v>1740</v>
      </c>
      <c r="C16" s="364"/>
      <c r="D16" s="364"/>
      <c r="E16" s="364"/>
      <c r="F16" s="14"/>
      <c r="G16" s="208"/>
      <c r="H16" s="14"/>
      <c r="I16" s="14"/>
      <c r="J16" s="117"/>
      <c r="K16" s="14"/>
      <c r="L16" s="118"/>
      <c r="M16" s="118"/>
      <c r="N16" s="118"/>
      <c r="O16" s="119"/>
      <c r="P16" s="120"/>
      <c r="Q16" s="121"/>
      <c r="R16" s="121"/>
      <c r="S16" s="121"/>
      <c r="T16" s="121"/>
      <c r="U16" s="122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6" ht="15" customHeight="1" x14ac:dyDescent="0.25">
      <c r="A17" s="94"/>
      <c r="B17" s="95"/>
      <c r="C17" s="123"/>
      <c r="D17" s="48"/>
      <c r="E17" s="124"/>
      <c r="F17" s="48"/>
      <c r="G17" s="209"/>
      <c r="H17" s="48"/>
      <c r="I17" s="48"/>
      <c r="J17" s="49"/>
      <c r="K17" s="4"/>
      <c r="L17" s="48"/>
      <c r="M17" s="48"/>
      <c r="N17" s="48"/>
      <c r="O17" s="48"/>
      <c r="P17" s="99"/>
      <c r="Q17" s="4"/>
      <c r="R17" s="4"/>
      <c r="S17" s="4"/>
      <c r="T17" s="4"/>
      <c r="U17" s="10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6" ht="15" customHeight="1" x14ac:dyDescent="0.25">
      <c r="A18" s="125"/>
      <c r="B18" s="412" t="s">
        <v>27</v>
      </c>
      <c r="C18" s="414" t="s">
        <v>28</v>
      </c>
      <c r="D18" s="412" t="s">
        <v>29</v>
      </c>
      <c r="E18" s="412" t="s">
        <v>30</v>
      </c>
      <c r="F18" s="415" t="s">
        <v>31</v>
      </c>
      <c r="G18" s="416" t="s">
        <v>32</v>
      </c>
      <c r="H18" s="414" t="s">
        <v>33</v>
      </c>
      <c r="I18" s="418" t="s">
        <v>34</v>
      </c>
      <c r="J18" s="419"/>
      <c r="K18" s="420"/>
      <c r="L18" s="418" t="s">
        <v>35</v>
      </c>
      <c r="M18" s="419"/>
      <c r="N18" s="420"/>
      <c r="O18" s="414" t="s">
        <v>36</v>
      </c>
      <c r="P18" s="96"/>
      <c r="Q18" s="96"/>
      <c r="R18" s="122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44"/>
      <c r="AJ18" s="44"/>
    </row>
    <row r="19" spans="1:36" x14ac:dyDescent="0.25">
      <c r="A19" s="125"/>
      <c r="B19" s="413"/>
      <c r="C19" s="413"/>
      <c r="D19" s="413"/>
      <c r="E19" s="413"/>
      <c r="F19" s="413"/>
      <c r="G19" s="417"/>
      <c r="H19" s="413"/>
      <c r="I19" s="126" t="s">
        <v>37</v>
      </c>
      <c r="J19" s="126" t="s">
        <v>38</v>
      </c>
      <c r="K19" s="126" t="s">
        <v>35</v>
      </c>
      <c r="L19" s="126" t="s">
        <v>37</v>
      </c>
      <c r="M19" s="126" t="s">
        <v>38</v>
      </c>
      <c r="N19" s="126" t="s">
        <v>35</v>
      </c>
      <c r="O19" s="413"/>
      <c r="P19" s="96"/>
      <c r="Q19" s="96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44"/>
      <c r="AJ19" s="44"/>
    </row>
    <row r="20" spans="1:36" ht="15.6" x14ac:dyDescent="0.25">
      <c r="A20" s="94"/>
      <c r="B20" s="127"/>
      <c r="C20" s="128"/>
      <c r="D20" s="128"/>
      <c r="E20" s="129"/>
      <c r="F20" s="130"/>
      <c r="G20" s="210"/>
      <c r="H20" s="128"/>
      <c r="I20" s="132"/>
      <c r="J20" s="132"/>
      <c r="K20" s="132"/>
      <c r="L20" s="133"/>
      <c r="M20" s="120"/>
      <c r="N20" s="96"/>
      <c r="O20" s="96"/>
      <c r="P20" s="96"/>
      <c r="Q20" s="96"/>
      <c r="R20" s="101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4"/>
      <c r="AJ20" s="44"/>
    </row>
    <row r="21" spans="1:36" ht="15" customHeight="1" x14ac:dyDescent="0.25">
      <c r="A21" s="94"/>
      <c r="B21" s="261">
        <v>1</v>
      </c>
      <c r="C21" s="261"/>
      <c r="D21" s="261"/>
      <c r="E21" s="261" t="s">
        <v>501</v>
      </c>
      <c r="F21" s="261"/>
      <c r="G21" s="278"/>
      <c r="H21" s="262"/>
      <c r="I21" s="261"/>
      <c r="J21" s="261"/>
      <c r="K21" s="261"/>
      <c r="L21" s="261"/>
      <c r="M21" s="261"/>
      <c r="N21" s="263">
        <f>N22+N33+N35</f>
        <v>148157.86431999999</v>
      </c>
      <c r="O21" s="264">
        <f>N21/$N$472</f>
        <v>6.4625974758762861E-2</v>
      </c>
      <c r="P21" s="134"/>
      <c r="Q21" s="134"/>
      <c r="R21" s="124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4"/>
      <c r="AJ21" s="44"/>
    </row>
    <row r="22" spans="1:36" x14ac:dyDescent="0.25">
      <c r="A22" s="94"/>
      <c r="B22" s="261" t="s">
        <v>39</v>
      </c>
      <c r="C22" s="261"/>
      <c r="D22" s="261"/>
      <c r="E22" s="261" t="s">
        <v>502</v>
      </c>
      <c r="F22" s="261"/>
      <c r="G22" s="278"/>
      <c r="H22" s="262"/>
      <c r="I22" s="261"/>
      <c r="J22" s="261"/>
      <c r="K22" s="261"/>
      <c r="L22" s="261"/>
      <c r="M22" s="261"/>
      <c r="N22" s="263">
        <f>SUM(N23:N32)</f>
        <v>87685.716160000011</v>
      </c>
      <c r="O22" s="264">
        <f>N22/$N$472</f>
        <v>3.8248221957497809E-2</v>
      </c>
      <c r="P22" s="85"/>
      <c r="Q22" s="49"/>
      <c r="R22" s="124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4"/>
      <c r="AJ22" s="44"/>
    </row>
    <row r="23" spans="1:36" x14ac:dyDescent="0.25">
      <c r="A23" s="94"/>
      <c r="B23" s="265" t="s">
        <v>503</v>
      </c>
      <c r="C23" s="266" t="s">
        <v>808</v>
      </c>
      <c r="D23" s="265" t="s">
        <v>200</v>
      </c>
      <c r="E23" s="265" t="s">
        <v>809</v>
      </c>
      <c r="F23" s="267" t="s">
        <v>810</v>
      </c>
      <c r="G23" s="279">
        <v>10</v>
      </c>
      <c r="H23" s="268">
        <v>907.29</v>
      </c>
      <c r="I23" s="268">
        <f>87.51*1.2488</f>
        <v>109.282488</v>
      </c>
      <c r="J23" s="268">
        <f>819.78*1.2488</f>
        <v>1023.7412639999999</v>
      </c>
      <c r="K23" s="268">
        <f t="shared" ref="K23:K32" si="0">I23+J23</f>
        <v>1133.0237519999998</v>
      </c>
      <c r="L23" s="268">
        <f t="shared" ref="L23:L32" si="1">G23*I23</f>
        <v>1092.8248800000001</v>
      </c>
      <c r="M23" s="268">
        <f t="shared" ref="M23:M32" si="2">G23*J23</f>
        <v>10237.412639999999</v>
      </c>
      <c r="N23" s="268">
        <v>11330.2</v>
      </c>
      <c r="O23" s="269">
        <f>N23/$N$472</f>
        <v>4.942196099899444E-3</v>
      </c>
      <c r="P23" s="44"/>
      <c r="Q23" s="49"/>
      <c r="R23" s="122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4"/>
      <c r="AJ23" s="44"/>
    </row>
    <row r="24" spans="1:36" x14ac:dyDescent="0.25">
      <c r="A24" s="94"/>
      <c r="B24" s="265" t="s">
        <v>504</v>
      </c>
      <c r="C24" s="266" t="s">
        <v>1437</v>
      </c>
      <c r="D24" s="265" t="s">
        <v>200</v>
      </c>
      <c r="E24" s="265" t="s">
        <v>1438</v>
      </c>
      <c r="F24" s="267" t="s">
        <v>41</v>
      </c>
      <c r="G24" s="279">
        <v>10</v>
      </c>
      <c r="H24" s="268">
        <v>560.91999999999996</v>
      </c>
      <c r="I24" s="268">
        <f>137.29*1.2488</f>
        <v>171.44775199999998</v>
      </c>
      <c r="J24" s="268">
        <f>423.63*1.2488</f>
        <v>529.02914399999997</v>
      </c>
      <c r="K24" s="268">
        <f t="shared" si="0"/>
        <v>700.4768959999999</v>
      </c>
      <c r="L24" s="268">
        <f t="shared" si="1"/>
        <v>1714.4775199999999</v>
      </c>
      <c r="M24" s="268">
        <f t="shared" si="2"/>
        <v>5290.29144</v>
      </c>
      <c r="N24" s="268">
        <v>7004.8</v>
      </c>
      <c r="O24" s="269">
        <f t="shared" ref="O24:O53" si="3">N24/$N$472</f>
        <v>3.0554707984480085E-3</v>
      </c>
      <c r="P24" s="44"/>
      <c r="Q24" s="49"/>
      <c r="R24" s="124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4"/>
      <c r="AJ24" s="44"/>
    </row>
    <row r="25" spans="1:36" ht="27.6" x14ac:dyDescent="0.25">
      <c r="A25" s="94"/>
      <c r="B25" s="265" t="s">
        <v>505</v>
      </c>
      <c r="C25" s="266" t="s">
        <v>1439</v>
      </c>
      <c r="D25" s="265" t="s">
        <v>200</v>
      </c>
      <c r="E25" s="265" t="s">
        <v>1440</v>
      </c>
      <c r="F25" s="267" t="s">
        <v>810</v>
      </c>
      <c r="G25" s="279">
        <v>10</v>
      </c>
      <c r="H25" s="268">
        <v>1356.53</v>
      </c>
      <c r="I25" s="268">
        <f>146.73*1.2488</f>
        <v>183.23642399999997</v>
      </c>
      <c r="J25" s="268">
        <f>1209.8*1.2488</f>
        <v>1510.7982399999999</v>
      </c>
      <c r="K25" s="268">
        <f t="shared" si="0"/>
        <v>1694.0346639999998</v>
      </c>
      <c r="L25" s="268">
        <f t="shared" si="1"/>
        <v>1832.3642399999997</v>
      </c>
      <c r="M25" s="268">
        <f t="shared" si="2"/>
        <v>15107.982399999999</v>
      </c>
      <c r="N25" s="268">
        <v>16940.3</v>
      </c>
      <c r="O25" s="269">
        <f t="shared" si="3"/>
        <v>7.389303330137733E-3</v>
      </c>
      <c r="P25" s="44"/>
      <c r="Q25" s="49"/>
      <c r="R25" s="124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4"/>
      <c r="AJ25" s="44"/>
    </row>
    <row r="26" spans="1:36" x14ac:dyDescent="0.25">
      <c r="A26" s="94"/>
      <c r="B26" s="265" t="s">
        <v>506</v>
      </c>
      <c r="C26" s="266" t="s">
        <v>1437</v>
      </c>
      <c r="D26" s="265" t="s">
        <v>200</v>
      </c>
      <c r="E26" s="265" t="s">
        <v>1441</v>
      </c>
      <c r="F26" s="267" t="s">
        <v>41</v>
      </c>
      <c r="G26" s="279">
        <v>6</v>
      </c>
      <c r="H26" s="268">
        <v>560.91999999999996</v>
      </c>
      <c r="I26" s="268">
        <f>137.29*1.2488</f>
        <v>171.44775199999998</v>
      </c>
      <c r="J26" s="268">
        <f>423.63*1.2488</f>
        <v>529.02914399999997</v>
      </c>
      <c r="K26" s="268">
        <f t="shared" si="0"/>
        <v>700.4768959999999</v>
      </c>
      <c r="L26" s="268">
        <f t="shared" si="1"/>
        <v>1028.6865119999998</v>
      </c>
      <c r="M26" s="268">
        <f t="shared" si="2"/>
        <v>3174.1748639999996</v>
      </c>
      <c r="N26" s="268">
        <v>4202.88</v>
      </c>
      <c r="O26" s="269">
        <f t="shared" si="3"/>
        <v>1.8332824790688051E-3</v>
      </c>
      <c r="P26" s="44"/>
      <c r="Q26" s="49"/>
      <c r="R26" s="124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4"/>
      <c r="AJ26" s="44"/>
    </row>
    <row r="27" spans="1:36" ht="27.6" x14ac:dyDescent="0.25">
      <c r="A27" s="94"/>
      <c r="B27" s="265" t="s">
        <v>507</v>
      </c>
      <c r="C27" s="266" t="s">
        <v>42</v>
      </c>
      <c r="D27" s="265" t="s">
        <v>40</v>
      </c>
      <c r="E27" s="265" t="s">
        <v>960</v>
      </c>
      <c r="F27" s="267" t="s">
        <v>43</v>
      </c>
      <c r="G27" s="279">
        <v>1</v>
      </c>
      <c r="H27" s="268">
        <v>581.80999999999995</v>
      </c>
      <c r="I27" s="268">
        <f>86.38*1.2488</f>
        <v>107.87134399999999</v>
      </c>
      <c r="J27" s="268">
        <f>495.43*1.2488</f>
        <v>618.69298399999991</v>
      </c>
      <c r="K27" s="268">
        <f t="shared" si="0"/>
        <v>726.56432799999993</v>
      </c>
      <c r="L27" s="268">
        <f t="shared" si="1"/>
        <v>107.87134399999999</v>
      </c>
      <c r="M27" s="268">
        <f t="shared" si="2"/>
        <v>618.69298399999991</v>
      </c>
      <c r="N27" s="268">
        <f t="shared" ref="N27:N29" si="4">L27+M27</f>
        <v>726.56432799999993</v>
      </c>
      <c r="O27" s="269">
        <f t="shared" si="3"/>
        <v>3.1692497821465289E-4</v>
      </c>
      <c r="P27" s="44"/>
      <c r="Q27" s="49"/>
      <c r="R27" s="124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4"/>
      <c r="AJ27" s="44"/>
    </row>
    <row r="28" spans="1:36" x14ac:dyDescent="0.25">
      <c r="A28" s="94"/>
      <c r="B28" s="265" t="s">
        <v>508</v>
      </c>
      <c r="C28" s="266" t="s">
        <v>44</v>
      </c>
      <c r="D28" s="265" t="s">
        <v>40</v>
      </c>
      <c r="E28" s="265" t="s">
        <v>961</v>
      </c>
      <c r="F28" s="267" t="s">
        <v>43</v>
      </c>
      <c r="G28" s="279">
        <v>1</v>
      </c>
      <c r="H28" s="268">
        <v>93.2</v>
      </c>
      <c r="I28" s="268">
        <f>22.69*1.2488</f>
        <v>28.335272</v>
      </c>
      <c r="J28" s="268">
        <f>115.89*1.2488</f>
        <v>144.723432</v>
      </c>
      <c r="K28" s="268">
        <f t="shared" si="0"/>
        <v>173.05870400000001</v>
      </c>
      <c r="L28" s="268">
        <f t="shared" si="1"/>
        <v>28.335272</v>
      </c>
      <c r="M28" s="268">
        <f t="shared" si="2"/>
        <v>144.723432</v>
      </c>
      <c r="N28" s="268">
        <f t="shared" si="4"/>
        <v>173.05870400000001</v>
      </c>
      <c r="O28" s="269">
        <f t="shared" si="3"/>
        <v>7.5487639402874822E-5</v>
      </c>
      <c r="P28" s="44"/>
      <c r="Q28" s="49"/>
      <c r="R28" s="124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4"/>
      <c r="AJ28" s="44"/>
    </row>
    <row r="29" spans="1:36" ht="27.6" x14ac:dyDescent="0.25">
      <c r="A29" s="94"/>
      <c r="B29" s="265" t="s">
        <v>509</v>
      </c>
      <c r="C29" s="266" t="s">
        <v>45</v>
      </c>
      <c r="D29" s="265" t="s">
        <v>40</v>
      </c>
      <c r="E29" s="265" t="s">
        <v>46</v>
      </c>
      <c r="F29" s="267" t="s">
        <v>43</v>
      </c>
      <c r="G29" s="279">
        <v>1</v>
      </c>
      <c r="H29" s="268">
        <v>2032.81</v>
      </c>
      <c r="I29" s="268">
        <f>575.5*1.2488</f>
        <v>718.68439999999998</v>
      </c>
      <c r="J29" s="268">
        <f>1457.31*1.2488</f>
        <v>1819.8887279999999</v>
      </c>
      <c r="K29" s="268">
        <f t="shared" si="0"/>
        <v>2538.573128</v>
      </c>
      <c r="L29" s="268">
        <f t="shared" si="1"/>
        <v>718.68439999999998</v>
      </c>
      <c r="M29" s="268">
        <f t="shared" si="2"/>
        <v>1819.8887279999999</v>
      </c>
      <c r="N29" s="268">
        <f t="shared" si="4"/>
        <v>2538.573128</v>
      </c>
      <c r="O29" s="269">
        <f t="shared" si="3"/>
        <v>1.1073172770569922E-3</v>
      </c>
      <c r="P29" s="44"/>
      <c r="Q29" s="49"/>
      <c r="R29" s="124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4"/>
      <c r="AJ29" s="44"/>
    </row>
    <row r="30" spans="1:36" ht="27.6" x14ac:dyDescent="0.25">
      <c r="A30" s="94"/>
      <c r="B30" s="265" t="s">
        <v>510</v>
      </c>
      <c r="C30" s="266" t="s">
        <v>47</v>
      </c>
      <c r="D30" s="265" t="s">
        <v>40</v>
      </c>
      <c r="E30" s="265" t="s">
        <v>48</v>
      </c>
      <c r="F30" s="267" t="s">
        <v>41</v>
      </c>
      <c r="G30" s="279">
        <v>6</v>
      </c>
      <c r="H30" s="268">
        <v>470.64</v>
      </c>
      <c r="I30" s="268">
        <f>38.48*1.2488</f>
        <v>48.053823999999992</v>
      </c>
      <c r="J30" s="268">
        <f>432.16*1.2488</f>
        <v>539.68140800000003</v>
      </c>
      <c r="K30" s="268">
        <f t="shared" si="0"/>
        <v>587.735232</v>
      </c>
      <c r="L30" s="268">
        <f t="shared" si="1"/>
        <v>288.32294399999995</v>
      </c>
      <c r="M30" s="268">
        <f t="shared" si="2"/>
        <v>3238.0884480000004</v>
      </c>
      <c r="N30" s="268">
        <v>3526.44</v>
      </c>
      <c r="O30" s="269">
        <f t="shared" si="3"/>
        <v>1.5382215684215102E-3</v>
      </c>
      <c r="P30" s="44"/>
      <c r="Q30" s="49"/>
      <c r="R30" s="124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4"/>
      <c r="AJ30" s="44"/>
    </row>
    <row r="31" spans="1:36" ht="27.6" x14ac:dyDescent="0.25">
      <c r="A31" s="94"/>
      <c r="B31" s="265" t="s">
        <v>511</v>
      </c>
      <c r="C31" s="266" t="s">
        <v>513</v>
      </c>
      <c r="D31" s="265" t="s">
        <v>200</v>
      </c>
      <c r="E31" s="265" t="s">
        <v>774</v>
      </c>
      <c r="F31" s="267" t="s">
        <v>58</v>
      </c>
      <c r="G31" s="279">
        <v>100</v>
      </c>
      <c r="H31" s="268">
        <v>109.37</v>
      </c>
      <c r="I31" s="268">
        <f>12.96*1.2488</f>
        <v>16.184448</v>
      </c>
      <c r="J31" s="268">
        <f>95.51*1.2488</f>
        <v>119.27288799999999</v>
      </c>
      <c r="K31" s="268">
        <f t="shared" si="0"/>
        <v>135.457336</v>
      </c>
      <c r="L31" s="268">
        <f t="shared" si="1"/>
        <v>1618.4448</v>
      </c>
      <c r="M31" s="268">
        <f t="shared" si="2"/>
        <v>11927.2888</v>
      </c>
      <c r="N31" s="268">
        <v>13546</v>
      </c>
      <c r="O31" s="269">
        <f t="shared" si="3"/>
        <v>5.9087207965647448E-3</v>
      </c>
      <c r="P31" s="44"/>
      <c r="Q31" s="49"/>
      <c r="R31" s="124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4"/>
      <c r="AJ31" s="44"/>
    </row>
    <row r="32" spans="1:36" x14ac:dyDescent="0.25">
      <c r="A32" s="94"/>
      <c r="B32" s="265" t="s">
        <v>512</v>
      </c>
      <c r="C32" s="266" t="s">
        <v>49</v>
      </c>
      <c r="D32" s="265" t="s">
        <v>40</v>
      </c>
      <c r="E32" s="265" t="s">
        <v>963</v>
      </c>
      <c r="F32" s="267" t="s">
        <v>41</v>
      </c>
      <c r="G32" s="279">
        <v>330</v>
      </c>
      <c r="H32" s="268">
        <v>91.95</v>
      </c>
      <c r="I32" s="268">
        <f>21.03*1.2488</f>
        <v>26.262263999999998</v>
      </c>
      <c r="J32" s="268">
        <f>46.18*1.2488</f>
        <v>57.669583999999993</v>
      </c>
      <c r="K32" s="268">
        <f t="shared" si="0"/>
        <v>83.931847999999988</v>
      </c>
      <c r="L32" s="268">
        <f t="shared" si="1"/>
        <v>8666.5471199999993</v>
      </c>
      <c r="M32" s="268">
        <f t="shared" si="2"/>
        <v>19030.96272</v>
      </c>
      <c r="N32" s="268">
        <v>27696.9</v>
      </c>
      <c r="O32" s="269">
        <f t="shared" si="3"/>
        <v>1.2081296990283041E-2</v>
      </c>
      <c r="P32" s="44"/>
      <c r="Q32" s="49"/>
      <c r="R32" s="124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4"/>
      <c r="AJ32" s="44"/>
    </row>
    <row r="33" spans="1:36" x14ac:dyDescent="0.25">
      <c r="A33" s="94"/>
      <c r="B33" s="261" t="s">
        <v>775</v>
      </c>
      <c r="C33" s="261"/>
      <c r="D33" s="261"/>
      <c r="E33" s="261" t="s">
        <v>819</v>
      </c>
      <c r="F33" s="261"/>
      <c r="G33" s="278"/>
      <c r="H33" s="262"/>
      <c r="I33" s="261"/>
      <c r="J33" s="261"/>
      <c r="K33" s="261"/>
      <c r="L33" s="261"/>
      <c r="M33" s="261"/>
      <c r="N33" s="263">
        <f>SUM(N34)</f>
        <v>53049.89815999999</v>
      </c>
      <c r="O33" s="264">
        <f>N33/$N$472</f>
        <v>2.3140191681207272E-2</v>
      </c>
      <c r="P33" s="44"/>
      <c r="Q33" s="49"/>
      <c r="R33" s="124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4"/>
      <c r="AJ33" s="44"/>
    </row>
    <row r="34" spans="1:36" x14ac:dyDescent="0.25">
      <c r="A34" s="94"/>
      <c r="B34" s="265" t="s">
        <v>776</v>
      </c>
      <c r="C34" s="266" t="s">
        <v>813</v>
      </c>
      <c r="D34" s="265" t="s">
        <v>40</v>
      </c>
      <c r="E34" s="265" t="s">
        <v>814</v>
      </c>
      <c r="F34" s="267" t="s">
        <v>356</v>
      </c>
      <c r="G34" s="279">
        <v>2</v>
      </c>
      <c r="H34" s="268">
        <v>21240.35</v>
      </c>
      <c r="I34" s="268">
        <f>20838.44*1.2488</f>
        <v>26023.043871999995</v>
      </c>
      <c r="J34" s="268">
        <f>401.91*1.2488</f>
        <v>501.90520800000002</v>
      </c>
      <c r="K34" s="268">
        <f>I34+J34</f>
        <v>26524.949079999995</v>
      </c>
      <c r="L34" s="268">
        <f>G34*I34</f>
        <v>52046.087743999989</v>
      </c>
      <c r="M34" s="268">
        <f>G34*J34</f>
        <v>1003.810416</v>
      </c>
      <c r="N34" s="268">
        <f>L34+M34</f>
        <v>53049.89815999999</v>
      </c>
      <c r="O34" s="269">
        <f t="shared" si="3"/>
        <v>2.3140191681207272E-2</v>
      </c>
      <c r="P34" s="44"/>
      <c r="Q34" s="49"/>
      <c r="R34" s="124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4"/>
      <c r="AJ34" s="44"/>
    </row>
    <row r="35" spans="1:36" x14ac:dyDescent="0.25">
      <c r="A35" s="94"/>
      <c r="B35" s="261" t="s">
        <v>811</v>
      </c>
      <c r="C35" s="261"/>
      <c r="D35" s="261"/>
      <c r="E35" s="261" t="s">
        <v>306</v>
      </c>
      <c r="F35" s="261"/>
      <c r="G35" s="278"/>
      <c r="H35" s="262"/>
      <c r="I35" s="261"/>
      <c r="J35" s="261"/>
      <c r="K35" s="261"/>
      <c r="L35" s="261"/>
      <c r="M35" s="261"/>
      <c r="N35" s="263">
        <f>SUM(N36)</f>
        <v>7422.25</v>
      </c>
      <c r="O35" s="264">
        <f>N35/$N$472</f>
        <v>3.2375611200577792E-3</v>
      </c>
      <c r="P35" s="44"/>
      <c r="Q35" s="49"/>
      <c r="R35" s="122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4"/>
      <c r="AJ35" s="44"/>
    </row>
    <row r="36" spans="1:36" x14ac:dyDescent="0.25">
      <c r="A36" s="94"/>
      <c r="B36" s="265" t="s">
        <v>812</v>
      </c>
      <c r="C36" s="266" t="s">
        <v>1442</v>
      </c>
      <c r="D36" s="265" t="s">
        <v>200</v>
      </c>
      <c r="E36" s="265" t="s">
        <v>1443</v>
      </c>
      <c r="F36" s="267" t="s">
        <v>309</v>
      </c>
      <c r="G36" s="279">
        <v>275</v>
      </c>
      <c r="H36" s="268">
        <v>21.61</v>
      </c>
      <c r="I36" s="268">
        <f>5.14*1.2488</f>
        <v>6.4188319999999992</v>
      </c>
      <c r="J36" s="268">
        <f>16.47*1.2488</f>
        <v>20.567735999999996</v>
      </c>
      <c r="K36" s="268">
        <f>I36+J36</f>
        <v>26.986567999999995</v>
      </c>
      <c r="L36" s="268">
        <f>G36*I36</f>
        <v>1765.1787999999997</v>
      </c>
      <c r="M36" s="268">
        <f>G36*J36</f>
        <v>5656.1273999999994</v>
      </c>
      <c r="N36" s="268">
        <v>7422.25</v>
      </c>
      <c r="O36" s="269">
        <f t="shared" si="3"/>
        <v>3.2375611200577792E-3</v>
      </c>
      <c r="P36" s="44"/>
      <c r="Q36" s="49"/>
      <c r="R36" s="124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4"/>
      <c r="AJ36" s="44"/>
    </row>
    <row r="37" spans="1:36" x14ac:dyDescent="0.25">
      <c r="A37" s="94"/>
      <c r="B37" s="261">
        <v>2</v>
      </c>
      <c r="C37" s="261"/>
      <c r="D37" s="261"/>
      <c r="E37" s="261" t="s">
        <v>51</v>
      </c>
      <c r="F37" s="261"/>
      <c r="G37" s="278"/>
      <c r="H37" s="262"/>
      <c r="I37" s="261"/>
      <c r="J37" s="261"/>
      <c r="K37" s="261"/>
      <c r="L37" s="261"/>
      <c r="M37" s="261"/>
      <c r="N37" s="263">
        <f>SUM(N38:N53)</f>
        <v>232805.94999999998</v>
      </c>
      <c r="O37" s="264">
        <f>N37/$N$472</f>
        <v>0.10154919225815827</v>
      </c>
      <c r="P37" s="44"/>
      <c r="Q37" s="49"/>
      <c r="R37" s="124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4"/>
      <c r="AJ37" s="44"/>
    </row>
    <row r="38" spans="1:36" ht="27.6" x14ac:dyDescent="0.25">
      <c r="A38" s="94"/>
      <c r="B38" s="265" t="s">
        <v>52</v>
      </c>
      <c r="C38" s="266" t="s">
        <v>53</v>
      </c>
      <c r="D38" s="265" t="s">
        <v>40</v>
      </c>
      <c r="E38" s="265" t="s">
        <v>966</v>
      </c>
      <c r="F38" s="267" t="s">
        <v>54</v>
      </c>
      <c r="G38" s="279">
        <v>125</v>
      </c>
      <c r="H38" s="268">
        <v>74.72</v>
      </c>
      <c r="I38" s="268">
        <f>36.33*1.2488</f>
        <v>45.368903999999993</v>
      </c>
      <c r="J38" s="268">
        <f>38.39*1.2488</f>
        <v>47.941431999999999</v>
      </c>
      <c r="K38" s="268">
        <f t="shared" ref="K38:K52" si="5">I38+J38</f>
        <v>93.310335999999992</v>
      </c>
      <c r="L38" s="268">
        <f t="shared" ref="L38:L52" si="6">G38*I38</f>
        <v>5671.1129999999994</v>
      </c>
      <c r="M38" s="268">
        <f t="shared" ref="M38:M52" si="7">G38*J38</f>
        <v>5992.6790000000001</v>
      </c>
      <c r="N38" s="268">
        <v>11663.75</v>
      </c>
      <c r="O38" s="269">
        <f t="shared" si="3"/>
        <v>5.0876895165312295E-3</v>
      </c>
      <c r="P38" s="44"/>
      <c r="Q38" s="49"/>
      <c r="R38" s="124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4"/>
      <c r="AJ38" s="44"/>
    </row>
    <row r="39" spans="1:36" ht="41.4" x14ac:dyDescent="0.25">
      <c r="A39" s="94"/>
      <c r="B39" s="265" t="s">
        <v>55</v>
      </c>
      <c r="C39" s="266" t="s">
        <v>1247</v>
      </c>
      <c r="D39" s="265" t="s">
        <v>40</v>
      </c>
      <c r="E39" s="265" t="s">
        <v>1248</v>
      </c>
      <c r="F39" s="267" t="s">
        <v>58</v>
      </c>
      <c r="G39" s="279">
        <v>203.88</v>
      </c>
      <c r="H39" s="268">
        <v>14.35</v>
      </c>
      <c r="I39" s="268">
        <f>5.42*1.2488</f>
        <v>6.7684959999999998</v>
      </c>
      <c r="J39" s="268">
        <f>8.93*1.2488</f>
        <v>11.151783999999999</v>
      </c>
      <c r="K39" s="268">
        <f t="shared" si="5"/>
        <v>17.920279999999998</v>
      </c>
      <c r="L39" s="268">
        <f t="shared" si="6"/>
        <v>1379.96096448</v>
      </c>
      <c r="M39" s="268">
        <f t="shared" si="7"/>
        <v>2273.6257219199997</v>
      </c>
      <c r="N39" s="268">
        <v>3653.53</v>
      </c>
      <c r="O39" s="269">
        <f t="shared" si="3"/>
        <v>1.5936578098237999E-3</v>
      </c>
      <c r="P39" s="44"/>
      <c r="Q39" s="49"/>
      <c r="R39" s="124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4"/>
      <c r="AJ39" s="44"/>
    </row>
    <row r="40" spans="1:36" x14ac:dyDescent="0.25">
      <c r="A40" s="94"/>
      <c r="B40" s="265" t="s">
        <v>59</v>
      </c>
      <c r="C40" s="266" t="s">
        <v>56</v>
      </c>
      <c r="D40" s="265" t="s">
        <v>40</v>
      </c>
      <c r="E40" s="265" t="s">
        <v>57</v>
      </c>
      <c r="F40" s="267" t="s">
        <v>58</v>
      </c>
      <c r="G40" s="279">
        <v>23.341999999999999</v>
      </c>
      <c r="H40" s="268">
        <v>115.98</v>
      </c>
      <c r="I40" s="268">
        <f>3.08*1.2488</f>
        <v>3.8463039999999999</v>
      </c>
      <c r="J40" s="268">
        <f>8.45*1.2488</f>
        <v>10.552359999999998</v>
      </c>
      <c r="K40" s="268">
        <f t="shared" si="5"/>
        <v>14.398663999999998</v>
      </c>
      <c r="L40" s="268">
        <f t="shared" si="6"/>
        <v>89.780427967999998</v>
      </c>
      <c r="M40" s="268">
        <f t="shared" si="7"/>
        <v>246.31318711999995</v>
      </c>
      <c r="N40" s="268">
        <v>336.1</v>
      </c>
      <c r="O40" s="269">
        <f t="shared" si="3"/>
        <v>1.4660571827295222E-4</v>
      </c>
      <c r="P40" s="44"/>
      <c r="Q40" s="49"/>
      <c r="R40" s="124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4"/>
      <c r="AJ40" s="44"/>
    </row>
    <row r="41" spans="1:36" ht="27.6" x14ac:dyDescent="0.25">
      <c r="A41" s="94"/>
      <c r="B41" s="265" t="s">
        <v>60</v>
      </c>
      <c r="C41" s="266" t="s">
        <v>1249</v>
      </c>
      <c r="D41" s="265" t="s">
        <v>40</v>
      </c>
      <c r="E41" s="265" t="s">
        <v>1250</v>
      </c>
      <c r="F41" s="267" t="s">
        <v>58</v>
      </c>
      <c r="G41" s="279">
        <v>36.186</v>
      </c>
      <c r="H41" s="268">
        <v>155.75</v>
      </c>
      <c r="I41" s="268">
        <f>53.15*1.2488</f>
        <v>66.373719999999992</v>
      </c>
      <c r="J41" s="268">
        <f>102.6*1.2488</f>
        <v>128.12687999999997</v>
      </c>
      <c r="K41" s="268">
        <f t="shared" si="5"/>
        <v>194.50059999999996</v>
      </c>
      <c r="L41" s="268">
        <f t="shared" si="6"/>
        <v>2401.7994319199997</v>
      </c>
      <c r="M41" s="268">
        <f t="shared" si="7"/>
        <v>4636.3992796799994</v>
      </c>
      <c r="N41" s="268">
        <v>7038.96</v>
      </c>
      <c r="O41" s="269">
        <f t="shared" si="3"/>
        <v>3.070371278472418E-3</v>
      </c>
      <c r="P41" s="44"/>
      <c r="Q41" s="49"/>
      <c r="R41" s="124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4"/>
      <c r="AJ41" s="44"/>
    </row>
    <row r="42" spans="1:36" ht="27.6" x14ac:dyDescent="0.25">
      <c r="A42" s="94"/>
      <c r="B42" s="265" t="s">
        <v>61</v>
      </c>
      <c r="C42" s="266" t="s">
        <v>1143</v>
      </c>
      <c r="D42" s="265" t="s">
        <v>40</v>
      </c>
      <c r="E42" s="265" t="s">
        <v>1144</v>
      </c>
      <c r="F42" s="267" t="s">
        <v>41</v>
      </c>
      <c r="G42" s="279">
        <v>392.1</v>
      </c>
      <c r="H42" s="268">
        <v>87.29</v>
      </c>
      <c r="I42" s="268">
        <f>48.34*1.2488</f>
        <v>60.366992000000003</v>
      </c>
      <c r="J42" s="268">
        <f>38.95*1.2488</f>
        <v>48.64076</v>
      </c>
      <c r="K42" s="268">
        <f t="shared" si="5"/>
        <v>109.00775200000001</v>
      </c>
      <c r="L42" s="268">
        <f t="shared" si="6"/>
        <v>23669.897563200004</v>
      </c>
      <c r="M42" s="268">
        <f t="shared" si="7"/>
        <v>19072.041996</v>
      </c>
      <c r="N42" s="268">
        <v>42742.82</v>
      </c>
      <c r="O42" s="269">
        <f t="shared" si="3"/>
        <v>1.8644277974149085E-2</v>
      </c>
      <c r="P42" s="44"/>
      <c r="Q42" s="49"/>
      <c r="R42" s="124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4"/>
      <c r="AJ42" s="44"/>
    </row>
    <row r="43" spans="1:36" x14ac:dyDescent="0.25">
      <c r="A43" s="94"/>
      <c r="B43" s="265" t="s">
        <v>62</v>
      </c>
      <c r="C43" s="266" t="s">
        <v>63</v>
      </c>
      <c r="D43" s="265" t="s">
        <v>40</v>
      </c>
      <c r="E43" s="265" t="s">
        <v>967</v>
      </c>
      <c r="F43" s="267" t="s">
        <v>64</v>
      </c>
      <c r="G43" s="279">
        <v>440.3</v>
      </c>
      <c r="H43" s="268">
        <v>22.2</v>
      </c>
      <c r="I43" s="268">
        <f>10.22*1.2488</f>
        <v>12.762736</v>
      </c>
      <c r="J43" s="268">
        <f>11.98*1.2488</f>
        <v>14.960623999999999</v>
      </c>
      <c r="K43" s="268">
        <f t="shared" si="5"/>
        <v>27.72336</v>
      </c>
      <c r="L43" s="268">
        <f t="shared" si="6"/>
        <v>5619.4326608000001</v>
      </c>
      <c r="M43" s="268">
        <f t="shared" si="7"/>
        <v>6587.1627472</v>
      </c>
      <c r="N43" s="268">
        <v>12205.12</v>
      </c>
      <c r="O43" s="269">
        <f t="shared" si="3"/>
        <v>5.3238333359344678E-3</v>
      </c>
      <c r="P43" s="44"/>
      <c r="Q43" s="49"/>
      <c r="R43" s="124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4"/>
      <c r="AJ43" s="44"/>
    </row>
    <row r="44" spans="1:36" x14ac:dyDescent="0.25">
      <c r="A44" s="94"/>
      <c r="B44" s="265" t="s">
        <v>65</v>
      </c>
      <c r="C44" s="266" t="s">
        <v>777</v>
      </c>
      <c r="D44" s="265" t="s">
        <v>40</v>
      </c>
      <c r="E44" s="265" t="s">
        <v>968</v>
      </c>
      <c r="F44" s="267" t="s">
        <v>64</v>
      </c>
      <c r="G44" s="279">
        <v>139.1</v>
      </c>
      <c r="H44" s="268">
        <v>19.420000000000002</v>
      </c>
      <c r="I44" s="268">
        <f>7.52*1.2488</f>
        <v>9.3909759999999984</v>
      </c>
      <c r="J44" s="268">
        <f>11.9*1.2488</f>
        <v>14.860719999999999</v>
      </c>
      <c r="K44" s="268">
        <f t="shared" si="5"/>
        <v>24.251695999999995</v>
      </c>
      <c r="L44" s="268">
        <f t="shared" si="6"/>
        <v>1306.2847615999997</v>
      </c>
      <c r="M44" s="268">
        <f t="shared" si="7"/>
        <v>2067.1261519999998</v>
      </c>
      <c r="N44" s="268">
        <v>3373.18</v>
      </c>
      <c r="O44" s="269">
        <f t="shared" si="3"/>
        <v>1.4713700588037991E-3</v>
      </c>
      <c r="P44" s="44"/>
      <c r="Q44" s="49"/>
      <c r="R44" s="124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4"/>
      <c r="AJ44" s="44"/>
    </row>
    <row r="45" spans="1:36" x14ac:dyDescent="0.25">
      <c r="A45" s="94"/>
      <c r="B45" s="265" t="s">
        <v>66</v>
      </c>
      <c r="C45" s="266" t="s">
        <v>67</v>
      </c>
      <c r="D45" s="265" t="s">
        <v>40</v>
      </c>
      <c r="E45" s="265" t="s">
        <v>969</v>
      </c>
      <c r="F45" s="267" t="s">
        <v>64</v>
      </c>
      <c r="G45" s="279">
        <v>1010.5</v>
      </c>
      <c r="H45" s="268">
        <v>17.079999999999998</v>
      </c>
      <c r="I45" s="268">
        <f>5.51*1.2488</f>
        <v>6.8808879999999997</v>
      </c>
      <c r="J45" s="268">
        <f>11.57*1.2488</f>
        <v>14.448615999999999</v>
      </c>
      <c r="K45" s="268">
        <f t="shared" si="5"/>
        <v>21.329504</v>
      </c>
      <c r="L45" s="268">
        <f t="shared" si="6"/>
        <v>6953.1373239999994</v>
      </c>
      <c r="M45" s="268">
        <f t="shared" si="7"/>
        <v>14600.326467999999</v>
      </c>
      <c r="N45" s="268">
        <v>21553.97</v>
      </c>
      <c r="O45" s="269">
        <f t="shared" si="3"/>
        <v>9.4017710606476169E-3</v>
      </c>
      <c r="P45" s="44"/>
      <c r="Q45" s="49"/>
      <c r="R45" s="124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4"/>
      <c r="AJ45" s="44"/>
    </row>
    <row r="46" spans="1:36" x14ac:dyDescent="0.25">
      <c r="A46" s="94"/>
      <c r="B46" s="265" t="s">
        <v>68</v>
      </c>
      <c r="C46" s="266" t="s">
        <v>69</v>
      </c>
      <c r="D46" s="265" t="s">
        <v>40</v>
      </c>
      <c r="E46" s="265" t="s">
        <v>970</v>
      </c>
      <c r="F46" s="267" t="s">
        <v>64</v>
      </c>
      <c r="G46" s="279">
        <v>650</v>
      </c>
      <c r="H46" s="268">
        <v>14.69</v>
      </c>
      <c r="I46" s="268">
        <f>4.15*1.2488</f>
        <v>5.1825200000000002</v>
      </c>
      <c r="J46" s="268">
        <f>10.54*1.2488</f>
        <v>13.162351999999998</v>
      </c>
      <c r="K46" s="268">
        <f t="shared" si="5"/>
        <v>18.344871999999999</v>
      </c>
      <c r="L46" s="268">
        <f t="shared" si="6"/>
        <v>3368.6380000000004</v>
      </c>
      <c r="M46" s="268">
        <f t="shared" si="7"/>
        <v>8555.5287999999982</v>
      </c>
      <c r="N46" s="268">
        <v>11921</v>
      </c>
      <c r="O46" s="269">
        <f t="shared" si="3"/>
        <v>5.1999011232724286E-3</v>
      </c>
      <c r="P46" s="44"/>
      <c r="Q46" s="49"/>
      <c r="R46" s="124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4"/>
      <c r="AJ46" s="44"/>
    </row>
    <row r="47" spans="1:36" ht="27.6" x14ac:dyDescent="0.25">
      <c r="A47" s="94"/>
      <c r="B47" s="265" t="s">
        <v>70</v>
      </c>
      <c r="C47" s="266" t="s">
        <v>971</v>
      </c>
      <c r="D47" s="265" t="s">
        <v>40</v>
      </c>
      <c r="E47" s="265" t="s">
        <v>972</v>
      </c>
      <c r="F47" s="267" t="s">
        <v>64</v>
      </c>
      <c r="G47" s="279">
        <v>724.4</v>
      </c>
      <c r="H47" s="268">
        <v>11.02</v>
      </c>
      <c r="I47" s="268">
        <f>2.29*1.2488</f>
        <v>2.8597519999999998</v>
      </c>
      <c r="J47" s="268">
        <f>8.73*1.2488</f>
        <v>10.902023999999999</v>
      </c>
      <c r="K47" s="268">
        <f t="shared" si="5"/>
        <v>13.761775999999999</v>
      </c>
      <c r="L47" s="268">
        <f t="shared" si="6"/>
        <v>2071.6043488</v>
      </c>
      <c r="M47" s="268">
        <f t="shared" si="7"/>
        <v>7897.4261855999994</v>
      </c>
      <c r="N47" s="268">
        <v>9967.74</v>
      </c>
      <c r="O47" s="269">
        <f t="shared" si="3"/>
        <v>4.347895514007845E-3</v>
      </c>
      <c r="P47" s="44"/>
      <c r="Q47" s="49"/>
      <c r="R47" s="124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4"/>
      <c r="AJ47" s="44"/>
    </row>
    <row r="48" spans="1:36" ht="27.6" x14ac:dyDescent="0.25">
      <c r="A48" s="94"/>
      <c r="B48" s="265" t="s">
        <v>71</v>
      </c>
      <c r="C48" s="266" t="s">
        <v>973</v>
      </c>
      <c r="D48" s="265" t="s">
        <v>40</v>
      </c>
      <c r="E48" s="265" t="s">
        <v>974</v>
      </c>
      <c r="F48" s="267" t="s">
        <v>64</v>
      </c>
      <c r="G48" s="279">
        <v>655.8</v>
      </c>
      <c r="H48" s="268">
        <v>10.220000000000001</v>
      </c>
      <c r="I48" s="268">
        <f>1.71*1.2488</f>
        <v>2.1354479999999998</v>
      </c>
      <c r="J48" s="268">
        <f>8.51*1.2488</f>
        <v>10.627287999999998</v>
      </c>
      <c r="K48" s="268">
        <f t="shared" si="5"/>
        <v>12.762735999999999</v>
      </c>
      <c r="L48" s="268">
        <f t="shared" si="6"/>
        <v>1400.4267983999998</v>
      </c>
      <c r="M48" s="268">
        <f t="shared" si="7"/>
        <v>6969.3754703999984</v>
      </c>
      <c r="N48" s="268">
        <v>8368.01</v>
      </c>
      <c r="O48" s="269">
        <f t="shared" si="3"/>
        <v>3.6500985318811273E-3</v>
      </c>
      <c r="P48" s="44"/>
      <c r="Q48" s="49"/>
      <c r="R48" s="124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4"/>
      <c r="AI48" s="44"/>
      <c r="AJ48" s="44"/>
    </row>
    <row r="49" spans="1:36" ht="27.6" x14ac:dyDescent="0.25">
      <c r="A49" s="94"/>
      <c r="B49" s="265" t="s">
        <v>72</v>
      </c>
      <c r="C49" s="266" t="s">
        <v>1415</v>
      </c>
      <c r="D49" s="265" t="s">
        <v>40</v>
      </c>
      <c r="E49" s="265" t="s">
        <v>1416</v>
      </c>
      <c r="F49" s="267" t="s">
        <v>58</v>
      </c>
      <c r="G49" s="279">
        <v>56.9</v>
      </c>
      <c r="H49" s="268">
        <v>633.30999999999995</v>
      </c>
      <c r="I49" s="268">
        <f>18.93*1.2488</f>
        <v>23.639783999999999</v>
      </c>
      <c r="J49" s="268">
        <f>614.38*1.2488</f>
        <v>767.23774399999991</v>
      </c>
      <c r="K49" s="268">
        <f t="shared" si="5"/>
        <v>790.87752799999987</v>
      </c>
      <c r="L49" s="268">
        <f t="shared" si="6"/>
        <v>1345.1037096</v>
      </c>
      <c r="M49" s="268">
        <f t="shared" si="7"/>
        <v>43655.827633599991</v>
      </c>
      <c r="N49" s="268">
        <v>45001.07</v>
      </c>
      <c r="O49" s="269">
        <f t="shared" si="3"/>
        <v>1.9629319221664391E-2</v>
      </c>
      <c r="P49" s="44"/>
      <c r="Q49" s="49"/>
      <c r="R49" s="124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4"/>
      <c r="AI49" s="44"/>
      <c r="AJ49" s="44"/>
    </row>
    <row r="50" spans="1:36" x14ac:dyDescent="0.25">
      <c r="A50" s="94"/>
      <c r="B50" s="265" t="s">
        <v>73</v>
      </c>
      <c r="C50" s="266" t="s">
        <v>74</v>
      </c>
      <c r="D50" s="265" t="s">
        <v>40</v>
      </c>
      <c r="E50" s="265" t="s">
        <v>75</v>
      </c>
      <c r="F50" s="267" t="s">
        <v>58</v>
      </c>
      <c r="G50" s="279">
        <v>167.23500000000001</v>
      </c>
      <c r="H50" s="268">
        <v>1.49</v>
      </c>
      <c r="I50" s="268">
        <f>0.4*1.2488</f>
        <v>0.49951999999999996</v>
      </c>
      <c r="J50" s="268">
        <f>1.09*1.2488</f>
        <v>1.361192</v>
      </c>
      <c r="K50" s="268">
        <f t="shared" si="5"/>
        <v>1.8607119999999999</v>
      </c>
      <c r="L50" s="268">
        <f t="shared" si="6"/>
        <v>83.537227200000004</v>
      </c>
      <c r="M50" s="268">
        <f t="shared" si="7"/>
        <v>227.63894412000002</v>
      </c>
      <c r="N50" s="268">
        <v>311.07</v>
      </c>
      <c r="O50" s="269">
        <f t="shared" si="3"/>
        <v>1.356877143206404E-4</v>
      </c>
      <c r="P50" s="44"/>
      <c r="Q50" s="49"/>
      <c r="R50" s="85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4"/>
      <c r="AI50" s="44"/>
      <c r="AJ50" s="44"/>
    </row>
    <row r="51" spans="1:36" x14ac:dyDescent="0.25">
      <c r="A51" s="94"/>
      <c r="B51" s="265" t="s">
        <v>778</v>
      </c>
      <c r="C51" s="266" t="s">
        <v>76</v>
      </c>
      <c r="D51" s="265" t="s">
        <v>40</v>
      </c>
      <c r="E51" s="265" t="s">
        <v>77</v>
      </c>
      <c r="F51" s="267" t="s">
        <v>58</v>
      </c>
      <c r="G51" s="279">
        <v>221.86</v>
      </c>
      <c r="H51" s="268">
        <v>93.79</v>
      </c>
      <c r="I51" s="268">
        <f>12.57*1.2488</f>
        <v>15.697415999999999</v>
      </c>
      <c r="J51" s="268">
        <f>81.22*1.2488</f>
        <v>101.42753599999999</v>
      </c>
      <c r="K51" s="268">
        <f t="shared" si="5"/>
        <v>117.12495199999999</v>
      </c>
      <c r="L51" s="268">
        <f t="shared" si="6"/>
        <v>3482.6287137599998</v>
      </c>
      <c r="M51" s="268">
        <f t="shared" si="7"/>
        <v>22502.713136959999</v>
      </c>
      <c r="N51" s="268">
        <v>25984.240000000002</v>
      </c>
      <c r="O51" s="269">
        <f t="shared" si="3"/>
        <v>1.1334240312337924E-2</v>
      </c>
      <c r="P51" s="44"/>
      <c r="Q51" s="49"/>
      <c r="R51" s="124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4"/>
      <c r="AI51" s="44"/>
      <c r="AJ51" s="44"/>
    </row>
    <row r="52" spans="1:36" x14ac:dyDescent="0.25">
      <c r="A52" s="94"/>
      <c r="B52" s="265" t="s">
        <v>779</v>
      </c>
      <c r="C52" s="266" t="s">
        <v>78</v>
      </c>
      <c r="D52" s="265" t="s">
        <v>40</v>
      </c>
      <c r="E52" s="265" t="s">
        <v>79</v>
      </c>
      <c r="F52" s="267" t="s">
        <v>41</v>
      </c>
      <c r="G52" s="279">
        <v>388.18</v>
      </c>
      <c r="H52" s="268">
        <v>46.5</v>
      </c>
      <c r="I52" s="268">
        <f>12.99*1.2488</f>
        <v>16.221912</v>
      </c>
      <c r="J52" s="268">
        <f>33.51*1.2488</f>
        <v>41.847287999999992</v>
      </c>
      <c r="K52" s="268">
        <f t="shared" si="5"/>
        <v>58.069199999999995</v>
      </c>
      <c r="L52" s="268">
        <f t="shared" si="6"/>
        <v>6297.0218001599997</v>
      </c>
      <c r="M52" s="268">
        <f t="shared" si="7"/>
        <v>16244.280255839996</v>
      </c>
      <c r="N52" s="268">
        <v>22541.61</v>
      </c>
      <c r="O52" s="269">
        <f t="shared" si="3"/>
        <v>9.8325763911894151E-3</v>
      </c>
      <c r="P52" s="44"/>
      <c r="Q52" s="49"/>
      <c r="R52" s="124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4"/>
      <c r="AI52" s="44"/>
      <c r="AJ52" s="44"/>
    </row>
    <row r="53" spans="1:36" ht="27.6" x14ac:dyDescent="0.25">
      <c r="A53" s="94"/>
      <c r="B53" s="265" t="s">
        <v>1252</v>
      </c>
      <c r="C53" s="266">
        <v>95967</v>
      </c>
      <c r="D53" s="265" t="s">
        <v>40</v>
      </c>
      <c r="E53" s="265" t="s">
        <v>1525</v>
      </c>
      <c r="F53" s="267" t="s">
        <v>320</v>
      </c>
      <c r="G53" s="279">
        <f>(56.9/8)*4</f>
        <v>28.45</v>
      </c>
      <c r="H53" s="268">
        <v>172.93</v>
      </c>
      <c r="I53" s="268">
        <f>168.07*1.2488</f>
        <v>209.88581599999998</v>
      </c>
      <c r="J53" s="268">
        <f>4.86*1.2488</f>
        <v>6.0691680000000003</v>
      </c>
      <c r="K53" s="268">
        <f t="shared" ref="K53" si="8">I53+J53</f>
        <v>215.95498399999997</v>
      </c>
      <c r="L53" s="268">
        <f t="shared" ref="L53" si="9">G53*I53</f>
        <v>5971.2514651999991</v>
      </c>
      <c r="M53" s="268">
        <f t="shared" ref="M53" si="10">G53*J53</f>
        <v>172.6678296</v>
      </c>
      <c r="N53" s="268">
        <v>6143.78</v>
      </c>
      <c r="O53" s="269">
        <f t="shared" si="3"/>
        <v>2.6798966968491467E-3</v>
      </c>
      <c r="P53" s="44"/>
      <c r="Q53" s="49"/>
      <c r="R53" s="124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4"/>
      <c r="AI53" s="44"/>
      <c r="AJ53" s="44"/>
    </row>
    <row r="54" spans="1:36" x14ac:dyDescent="0.25">
      <c r="A54" s="94"/>
      <c r="B54" s="261">
        <v>3</v>
      </c>
      <c r="C54" s="261"/>
      <c r="D54" s="261"/>
      <c r="E54" s="261" t="s">
        <v>81</v>
      </c>
      <c r="F54" s="261"/>
      <c r="G54" s="278"/>
      <c r="H54" s="262"/>
      <c r="I54" s="261"/>
      <c r="J54" s="261"/>
      <c r="K54" s="261"/>
      <c r="L54" s="261"/>
      <c r="M54" s="261"/>
      <c r="N54" s="263">
        <f>N55+N63+N73+N84</f>
        <v>329242.87</v>
      </c>
      <c r="O54" s="264">
        <f>N54/$N$472</f>
        <v>0.14361466064444578</v>
      </c>
      <c r="P54" s="44"/>
      <c r="Q54" s="49"/>
      <c r="R54" s="85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4"/>
      <c r="AI54" s="44"/>
      <c r="AJ54" s="44"/>
    </row>
    <row r="55" spans="1:36" ht="15.6" x14ac:dyDescent="0.25">
      <c r="A55" s="135"/>
      <c r="B55" s="261" t="s">
        <v>82</v>
      </c>
      <c r="C55" s="261"/>
      <c r="D55" s="261"/>
      <c r="E55" s="261" t="s">
        <v>83</v>
      </c>
      <c r="F55" s="261"/>
      <c r="G55" s="278"/>
      <c r="H55" s="262"/>
      <c r="I55" s="261"/>
      <c r="J55" s="261"/>
      <c r="K55" s="261"/>
      <c r="L55" s="261"/>
      <c r="M55" s="261"/>
      <c r="N55" s="263">
        <f>SUM(N56:N62)</f>
        <v>60496.049999999996</v>
      </c>
      <c r="O55" s="264">
        <f>N55/$N$472</f>
        <v>2.6388178705523443E-2</v>
      </c>
      <c r="P55" s="44"/>
      <c r="Q55" s="49"/>
      <c r="R55" s="13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9"/>
      <c r="AI55" s="44"/>
      <c r="AJ55" s="44"/>
    </row>
    <row r="56" spans="1:36" ht="27.6" x14ac:dyDescent="0.25">
      <c r="A56" s="94"/>
      <c r="B56" s="265" t="s">
        <v>84</v>
      </c>
      <c r="C56" s="266" t="s">
        <v>975</v>
      </c>
      <c r="D56" s="265" t="s">
        <v>40</v>
      </c>
      <c r="E56" s="265" t="s">
        <v>976</v>
      </c>
      <c r="F56" s="267" t="s">
        <v>41</v>
      </c>
      <c r="G56" s="279">
        <v>283</v>
      </c>
      <c r="H56" s="268">
        <v>78.02</v>
      </c>
      <c r="I56" s="268">
        <f>30.12*1.2488</f>
        <v>37.613855999999998</v>
      </c>
      <c r="J56" s="268">
        <f>47.9*1.2488</f>
        <v>59.817519999999995</v>
      </c>
      <c r="K56" s="268">
        <f t="shared" ref="K56:K61" si="11">I56+J56</f>
        <v>97.431376</v>
      </c>
      <c r="L56" s="268">
        <f t="shared" ref="L56:L61" si="12">G56*I56</f>
        <v>10644.721248</v>
      </c>
      <c r="M56" s="268">
        <f t="shared" ref="M56:M61" si="13">G56*J56</f>
        <v>16928.35816</v>
      </c>
      <c r="N56" s="268">
        <v>27572.69</v>
      </c>
      <c r="O56" s="269">
        <f t="shared" ref="O56:O119" si="14">N56/$N$472</f>
        <v>1.2027116995440186E-2</v>
      </c>
      <c r="P56" s="44"/>
      <c r="Q56" s="49"/>
      <c r="R56" s="124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4"/>
      <c r="AI56" s="44"/>
      <c r="AJ56" s="44"/>
    </row>
    <row r="57" spans="1:36" ht="27.6" customHeight="1" x14ac:dyDescent="0.25">
      <c r="A57" s="94"/>
      <c r="B57" s="265" t="s">
        <v>85</v>
      </c>
      <c r="C57" s="266" t="s">
        <v>86</v>
      </c>
      <c r="D57" s="265" t="s">
        <v>40</v>
      </c>
      <c r="E57" s="265" t="s">
        <v>87</v>
      </c>
      <c r="F57" s="267" t="s">
        <v>64</v>
      </c>
      <c r="G57" s="279">
        <v>680.7</v>
      </c>
      <c r="H57" s="268">
        <v>10.95</v>
      </c>
      <c r="I57" s="268">
        <f>1.36*1.2488</f>
        <v>1.6983680000000001</v>
      </c>
      <c r="J57" s="268">
        <f>9.59*1.2488</f>
        <v>11.975992</v>
      </c>
      <c r="K57" s="268">
        <f t="shared" si="11"/>
        <v>13.67436</v>
      </c>
      <c r="L57" s="268">
        <f t="shared" si="12"/>
        <v>1156.0790976000001</v>
      </c>
      <c r="M57" s="268">
        <f t="shared" si="13"/>
        <v>8152.0577544000007</v>
      </c>
      <c r="N57" s="268">
        <v>9305.17</v>
      </c>
      <c r="O57" s="269">
        <f t="shared" si="14"/>
        <v>4.0588846518950514E-3</v>
      </c>
      <c r="P57" s="44"/>
      <c r="Q57" s="49"/>
      <c r="R57" s="124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4"/>
      <c r="AI57" s="44"/>
      <c r="AJ57" s="44"/>
    </row>
    <row r="58" spans="1:36" ht="27.6" x14ac:dyDescent="0.25">
      <c r="A58" s="94"/>
      <c r="B58" s="265" t="s">
        <v>88</v>
      </c>
      <c r="C58" s="266" t="s">
        <v>89</v>
      </c>
      <c r="D58" s="265" t="s">
        <v>40</v>
      </c>
      <c r="E58" s="265" t="s">
        <v>90</v>
      </c>
      <c r="F58" s="267" t="s">
        <v>64</v>
      </c>
      <c r="G58" s="279">
        <v>214.4</v>
      </c>
      <c r="H58" s="268">
        <v>9.11</v>
      </c>
      <c r="I58" s="268">
        <f>0.084*1.2488</f>
        <v>0.1048992</v>
      </c>
      <c r="J58" s="268">
        <f>8.27*1.2488</f>
        <v>10.327575999999999</v>
      </c>
      <c r="K58" s="268">
        <f t="shared" si="11"/>
        <v>10.432475199999999</v>
      </c>
      <c r="L58" s="268">
        <f t="shared" si="12"/>
        <v>22.49038848</v>
      </c>
      <c r="M58" s="268">
        <f t="shared" si="13"/>
        <v>2214.2322943999998</v>
      </c>
      <c r="N58" s="268">
        <v>2236.19</v>
      </c>
      <c r="O58" s="269">
        <f t="shared" si="14"/>
        <v>9.7541874782741146E-4</v>
      </c>
      <c r="P58" s="44"/>
      <c r="Q58" s="49"/>
      <c r="R58" s="124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4"/>
      <c r="AI58" s="44"/>
      <c r="AJ58" s="44"/>
    </row>
    <row r="59" spans="1:36" ht="27.6" x14ac:dyDescent="0.25">
      <c r="A59" s="94"/>
      <c r="B59" s="265" t="s">
        <v>91</v>
      </c>
      <c r="C59" s="266" t="s">
        <v>92</v>
      </c>
      <c r="D59" s="265" t="s">
        <v>40</v>
      </c>
      <c r="E59" s="265" t="s">
        <v>93</v>
      </c>
      <c r="F59" s="267" t="s">
        <v>64</v>
      </c>
      <c r="G59" s="279">
        <v>145</v>
      </c>
      <c r="H59" s="268">
        <v>8.73</v>
      </c>
      <c r="I59" s="268">
        <f>0.6*1.2488</f>
        <v>0.74927999999999995</v>
      </c>
      <c r="J59" s="268">
        <f>8.13*1.2488</f>
        <v>10.152744</v>
      </c>
      <c r="K59" s="268">
        <f t="shared" si="11"/>
        <v>10.902024000000001</v>
      </c>
      <c r="L59" s="268">
        <f t="shared" si="12"/>
        <v>108.64559999999999</v>
      </c>
      <c r="M59" s="268">
        <f t="shared" si="13"/>
        <v>1472.14788</v>
      </c>
      <c r="N59" s="268">
        <v>1580.5</v>
      </c>
      <c r="O59" s="269">
        <f t="shared" si="14"/>
        <v>6.8940891916215695E-4</v>
      </c>
      <c r="P59" s="44"/>
      <c r="Q59" s="49"/>
      <c r="R59" s="124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4"/>
      <c r="AI59" s="44"/>
      <c r="AJ59" s="44"/>
    </row>
    <row r="60" spans="1:36" ht="27.6" x14ac:dyDescent="0.25">
      <c r="A60" s="94"/>
      <c r="B60" s="265" t="s">
        <v>94</v>
      </c>
      <c r="C60" s="266" t="s">
        <v>95</v>
      </c>
      <c r="D60" s="265" t="s">
        <v>40</v>
      </c>
      <c r="E60" s="265" t="s">
        <v>96</v>
      </c>
      <c r="F60" s="267" t="s">
        <v>64</v>
      </c>
      <c r="G60" s="279">
        <v>403.7</v>
      </c>
      <c r="H60" s="268">
        <v>14.86</v>
      </c>
      <c r="I60" s="268">
        <f>4.74*1.2488</f>
        <v>5.9193119999999997</v>
      </c>
      <c r="J60" s="268">
        <f>10.12*1.2488</f>
        <v>12.637855999999998</v>
      </c>
      <c r="K60" s="268">
        <f t="shared" si="11"/>
        <v>18.557167999999997</v>
      </c>
      <c r="L60" s="268">
        <f t="shared" si="12"/>
        <v>2389.6262543999997</v>
      </c>
      <c r="M60" s="268">
        <f t="shared" si="13"/>
        <v>5101.9024671999987</v>
      </c>
      <c r="N60" s="268">
        <v>7492.67</v>
      </c>
      <c r="O60" s="269">
        <f t="shared" si="14"/>
        <v>3.2682780932228529E-3</v>
      </c>
      <c r="P60" s="44"/>
      <c r="Q60" s="49"/>
      <c r="R60" s="124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4"/>
      <c r="AI60" s="44"/>
      <c r="AJ60" s="44"/>
    </row>
    <row r="61" spans="1:36" ht="27.6" x14ac:dyDescent="0.25">
      <c r="A61" s="94"/>
      <c r="B61" s="265" t="s">
        <v>97</v>
      </c>
      <c r="C61" s="266">
        <v>94966</v>
      </c>
      <c r="D61" s="265" t="s">
        <v>40</v>
      </c>
      <c r="E61" s="265" t="s">
        <v>1526</v>
      </c>
      <c r="F61" s="267" t="s">
        <v>58</v>
      </c>
      <c r="G61" s="279">
        <v>18.600000000000001</v>
      </c>
      <c r="H61" s="268">
        <v>443.46</v>
      </c>
      <c r="I61" s="268">
        <f>78.58*1.2488</f>
        <v>98.130703999999994</v>
      </c>
      <c r="J61" s="268">
        <f>364.88*1.2488</f>
        <v>455.66214399999996</v>
      </c>
      <c r="K61" s="268">
        <f t="shared" si="11"/>
        <v>553.79284799999994</v>
      </c>
      <c r="L61" s="268">
        <f t="shared" si="12"/>
        <v>1825.2310944000001</v>
      </c>
      <c r="M61" s="268">
        <f t="shared" si="13"/>
        <v>8475.3158784000007</v>
      </c>
      <c r="N61" s="268">
        <v>10300.49</v>
      </c>
      <c r="O61" s="269">
        <f t="shared" si="14"/>
        <v>4.4930399732620099E-3</v>
      </c>
      <c r="P61" s="44"/>
      <c r="Q61" s="49"/>
      <c r="R61" s="124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4"/>
      <c r="AI61" s="44"/>
      <c r="AJ61" s="44"/>
    </row>
    <row r="62" spans="1:36" ht="27.6" x14ac:dyDescent="0.25">
      <c r="A62" s="257"/>
      <c r="B62" s="265" t="s">
        <v>99</v>
      </c>
      <c r="C62" s="266">
        <v>95967</v>
      </c>
      <c r="D62" s="265" t="s">
        <v>40</v>
      </c>
      <c r="E62" s="265" t="s">
        <v>1525</v>
      </c>
      <c r="F62" s="267" t="s">
        <v>320</v>
      </c>
      <c r="G62" s="279">
        <f>(18.6/8)*4</f>
        <v>9.3000000000000007</v>
      </c>
      <c r="H62" s="268">
        <v>172.93</v>
      </c>
      <c r="I62" s="268">
        <f>168.07*1.2488</f>
        <v>209.88581599999998</v>
      </c>
      <c r="J62" s="268">
        <f>4.86*1.2488</f>
        <v>6.0691680000000003</v>
      </c>
      <c r="K62" s="268">
        <f t="shared" ref="K62" si="15">I62+J62</f>
        <v>215.95498399999997</v>
      </c>
      <c r="L62" s="268">
        <f t="shared" ref="L62" si="16">G62*I62</f>
        <v>1951.9380887999998</v>
      </c>
      <c r="M62" s="268">
        <f t="shared" ref="M62" si="17">G62*J62</f>
        <v>56.443262400000009</v>
      </c>
      <c r="N62" s="268">
        <v>2008.34</v>
      </c>
      <c r="O62" s="269">
        <f t="shared" si="14"/>
        <v>8.760313247137781E-4</v>
      </c>
      <c r="P62" s="44"/>
      <c r="Q62" s="49"/>
      <c r="R62" s="124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4"/>
      <c r="AI62" s="44"/>
      <c r="AJ62" s="44"/>
    </row>
    <row r="63" spans="1:36" ht="15.6" x14ac:dyDescent="0.25">
      <c r="A63" s="258"/>
      <c r="B63" s="261" t="s">
        <v>100</v>
      </c>
      <c r="C63" s="261"/>
      <c r="D63" s="261"/>
      <c r="E63" s="261" t="s">
        <v>101</v>
      </c>
      <c r="F63" s="261"/>
      <c r="G63" s="278"/>
      <c r="H63" s="262"/>
      <c r="I63" s="261"/>
      <c r="J63" s="261"/>
      <c r="K63" s="261"/>
      <c r="L63" s="261"/>
      <c r="M63" s="261"/>
      <c r="N63" s="263">
        <f>SUM(N64:N72)</f>
        <v>105339.46000000002</v>
      </c>
      <c r="O63" s="264">
        <f>N63/$N$472</f>
        <v>4.5948727151993218E-2</v>
      </c>
      <c r="P63" s="44"/>
      <c r="Q63" s="49"/>
      <c r="R63" s="13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9"/>
      <c r="AI63" s="44"/>
      <c r="AJ63" s="44"/>
    </row>
    <row r="64" spans="1:36" ht="27.6" customHeight="1" x14ac:dyDescent="0.25">
      <c r="A64" s="257"/>
      <c r="B64" s="265" t="s">
        <v>102</v>
      </c>
      <c r="C64" s="266" t="s">
        <v>979</v>
      </c>
      <c r="D64" s="265" t="s">
        <v>40</v>
      </c>
      <c r="E64" s="265" t="s">
        <v>980</v>
      </c>
      <c r="F64" s="267" t="s">
        <v>41</v>
      </c>
      <c r="G64" s="279">
        <v>292</v>
      </c>
      <c r="H64" s="268">
        <v>139.86000000000001</v>
      </c>
      <c r="I64" s="268">
        <f>54.44*1.2488</f>
        <v>67.984671999999989</v>
      </c>
      <c r="J64" s="268">
        <f>85.42*1.2488</f>
        <v>106.672496</v>
      </c>
      <c r="K64" s="268">
        <f t="shared" ref="K64:K70" si="18">I64+J64</f>
        <v>174.65716799999998</v>
      </c>
      <c r="L64" s="268">
        <f t="shared" ref="L64:L70" si="19">G64*I64</f>
        <v>19851.524223999997</v>
      </c>
      <c r="M64" s="268">
        <f t="shared" ref="M64:M70" si="20">G64*J64</f>
        <v>31148.368832</v>
      </c>
      <c r="N64" s="268">
        <v>51000.72</v>
      </c>
      <c r="O64" s="269">
        <f t="shared" si="14"/>
        <v>2.2246346884967926E-2</v>
      </c>
      <c r="P64" s="44"/>
      <c r="Q64" s="49"/>
      <c r="R64" s="124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4"/>
      <c r="AI64" s="44"/>
      <c r="AJ64" s="44"/>
    </row>
    <row r="65" spans="1:36" ht="27.6" x14ac:dyDescent="0.25">
      <c r="A65" s="94"/>
      <c r="B65" s="265" t="s">
        <v>103</v>
      </c>
      <c r="C65" s="266" t="s">
        <v>104</v>
      </c>
      <c r="D65" s="265" t="s">
        <v>40</v>
      </c>
      <c r="E65" s="265" t="s">
        <v>105</v>
      </c>
      <c r="F65" s="267" t="s">
        <v>64</v>
      </c>
      <c r="G65" s="279">
        <v>403.8</v>
      </c>
      <c r="H65" s="268">
        <v>13.58</v>
      </c>
      <c r="I65" s="268">
        <f>3.14*1.2488</f>
        <v>3.9212319999999998</v>
      </c>
      <c r="J65" s="268">
        <f>10.44*1.2488</f>
        <v>13.037471999999999</v>
      </c>
      <c r="K65" s="268">
        <f t="shared" si="18"/>
        <v>16.958703999999997</v>
      </c>
      <c r="L65" s="268">
        <f t="shared" si="19"/>
        <v>1583.3934816000001</v>
      </c>
      <c r="M65" s="268">
        <f t="shared" si="20"/>
        <v>5264.5311935999998</v>
      </c>
      <c r="N65" s="268">
        <v>6848.45</v>
      </c>
      <c r="O65" s="269">
        <f t="shared" si="14"/>
        <v>2.9872714409592371E-3</v>
      </c>
      <c r="P65" s="44"/>
      <c r="Q65" s="49"/>
      <c r="R65" s="124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4"/>
      <c r="AI65" s="44"/>
      <c r="AJ65" s="44"/>
    </row>
    <row r="66" spans="1:36" ht="27.6" x14ac:dyDescent="0.25">
      <c r="A66" s="94"/>
      <c r="B66" s="265" t="s">
        <v>106</v>
      </c>
      <c r="C66" s="266" t="s">
        <v>107</v>
      </c>
      <c r="D66" s="265" t="s">
        <v>40</v>
      </c>
      <c r="E66" s="265" t="s">
        <v>108</v>
      </c>
      <c r="F66" s="267" t="s">
        <v>64</v>
      </c>
      <c r="G66" s="279">
        <v>143.5</v>
      </c>
      <c r="H66" s="268">
        <v>12.47</v>
      </c>
      <c r="I66" s="268">
        <f>2.05*1.2488</f>
        <v>2.5600399999999994</v>
      </c>
      <c r="J66" s="268">
        <f>10.42*1.2488</f>
        <v>13.012495999999999</v>
      </c>
      <c r="K66" s="268">
        <f t="shared" si="18"/>
        <v>15.572535999999998</v>
      </c>
      <c r="L66" s="268">
        <f t="shared" si="19"/>
        <v>367.3657399999999</v>
      </c>
      <c r="M66" s="268">
        <f t="shared" si="20"/>
        <v>1867.2931759999999</v>
      </c>
      <c r="N66" s="268">
        <v>2234.3000000000002</v>
      </c>
      <c r="O66" s="269">
        <f t="shared" si="14"/>
        <v>9.7459433602278237E-4</v>
      </c>
      <c r="P66" s="44"/>
      <c r="Q66" s="49"/>
      <c r="R66" s="124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4"/>
      <c r="AI66" s="44"/>
      <c r="AJ66" s="44"/>
    </row>
    <row r="67" spans="1:36" ht="27.6" x14ac:dyDescent="0.25">
      <c r="A67" s="94"/>
      <c r="B67" s="265" t="s">
        <v>109</v>
      </c>
      <c r="C67" s="266" t="s">
        <v>86</v>
      </c>
      <c r="D67" s="265" t="s">
        <v>40</v>
      </c>
      <c r="E67" s="265" t="s">
        <v>87</v>
      </c>
      <c r="F67" s="267" t="s">
        <v>64</v>
      </c>
      <c r="G67" s="279">
        <v>541.9</v>
      </c>
      <c r="H67" s="268">
        <v>10.95</v>
      </c>
      <c r="I67" s="268">
        <f>1.36*1.2488</f>
        <v>1.6983680000000001</v>
      </c>
      <c r="J67" s="268">
        <f>9.59*1.2488</f>
        <v>11.975992</v>
      </c>
      <c r="K67" s="268">
        <f t="shared" si="18"/>
        <v>13.67436</v>
      </c>
      <c r="L67" s="268">
        <f t="shared" si="19"/>
        <v>920.34561919999999</v>
      </c>
      <c r="M67" s="268">
        <f t="shared" si="20"/>
        <v>6489.7900647999995</v>
      </c>
      <c r="N67" s="268">
        <v>7407.77</v>
      </c>
      <c r="O67" s="269">
        <f t="shared" si="14"/>
        <v>3.231244991522842E-3</v>
      </c>
      <c r="P67" s="44"/>
      <c r="Q67" s="49"/>
      <c r="R67" s="124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4"/>
      <c r="AI67" s="44"/>
      <c r="AJ67" s="44"/>
    </row>
    <row r="68" spans="1:36" ht="27.6" x14ac:dyDescent="0.25">
      <c r="A68" s="94"/>
      <c r="B68" s="265" t="s">
        <v>110</v>
      </c>
      <c r="C68" s="266" t="s">
        <v>89</v>
      </c>
      <c r="D68" s="265" t="s">
        <v>40</v>
      </c>
      <c r="E68" s="265" t="s">
        <v>90</v>
      </c>
      <c r="F68" s="267" t="s">
        <v>64</v>
      </c>
      <c r="G68" s="279">
        <v>525.5</v>
      </c>
      <c r="H68" s="268">
        <v>9.11</v>
      </c>
      <c r="I68" s="268">
        <f>0.84*1.2488</f>
        <v>1.0489919999999999</v>
      </c>
      <c r="J68" s="268">
        <f>8.27*1.2488</f>
        <v>10.327575999999999</v>
      </c>
      <c r="K68" s="268">
        <f t="shared" si="18"/>
        <v>11.376567999999999</v>
      </c>
      <c r="L68" s="268">
        <f t="shared" si="19"/>
        <v>551.24529599999994</v>
      </c>
      <c r="M68" s="268">
        <f t="shared" si="20"/>
        <v>5427.1411879999996</v>
      </c>
      <c r="N68" s="268">
        <v>5980.19</v>
      </c>
      <c r="O68" s="269">
        <f t="shared" si="14"/>
        <v>2.6085392750929068E-3</v>
      </c>
      <c r="P68" s="44"/>
      <c r="Q68" s="49"/>
      <c r="R68" s="124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4"/>
      <c r="AI68" s="44"/>
      <c r="AJ68" s="44"/>
    </row>
    <row r="69" spans="1:36" ht="27.6" x14ac:dyDescent="0.25">
      <c r="A69" s="94"/>
      <c r="B69" s="265" t="s">
        <v>111</v>
      </c>
      <c r="C69" s="266" t="s">
        <v>92</v>
      </c>
      <c r="D69" s="265" t="s">
        <v>40</v>
      </c>
      <c r="E69" s="265" t="s">
        <v>93</v>
      </c>
      <c r="F69" s="267" t="s">
        <v>64</v>
      </c>
      <c r="G69" s="279">
        <v>360.3</v>
      </c>
      <c r="H69" s="268">
        <v>8.73</v>
      </c>
      <c r="I69" s="268">
        <f>0.6*1.2488</f>
        <v>0.74927999999999995</v>
      </c>
      <c r="J69" s="268">
        <f>8.13*1.2488</f>
        <v>10.152744</v>
      </c>
      <c r="K69" s="268">
        <f t="shared" si="18"/>
        <v>10.902024000000001</v>
      </c>
      <c r="L69" s="268">
        <f t="shared" si="19"/>
        <v>269.96558399999998</v>
      </c>
      <c r="M69" s="268">
        <f t="shared" si="20"/>
        <v>3658.0336632000003</v>
      </c>
      <c r="N69" s="268">
        <v>3927.27</v>
      </c>
      <c r="O69" s="269">
        <f t="shared" si="14"/>
        <v>1.7130623005112079E-3</v>
      </c>
      <c r="P69" s="44"/>
      <c r="Q69" s="49"/>
      <c r="R69" s="124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4"/>
      <c r="AI69" s="44"/>
      <c r="AJ69" s="44"/>
    </row>
    <row r="70" spans="1:36" ht="27.6" x14ac:dyDescent="0.25">
      <c r="A70" s="94"/>
      <c r="B70" s="265" t="s">
        <v>112</v>
      </c>
      <c r="C70" s="266" t="s">
        <v>95</v>
      </c>
      <c r="D70" s="265" t="s">
        <v>40</v>
      </c>
      <c r="E70" s="265" t="s">
        <v>96</v>
      </c>
      <c r="F70" s="267" t="s">
        <v>64</v>
      </c>
      <c r="G70" s="279">
        <v>432.2</v>
      </c>
      <c r="H70" s="268">
        <v>14.86</v>
      </c>
      <c r="I70" s="268">
        <f>4.74*1.2488</f>
        <v>5.9193119999999997</v>
      </c>
      <c r="J70" s="268">
        <f>10.12*1.2488</f>
        <v>12.637855999999998</v>
      </c>
      <c r="K70" s="268">
        <f t="shared" si="18"/>
        <v>18.557167999999997</v>
      </c>
      <c r="L70" s="268">
        <f t="shared" si="19"/>
        <v>2558.3266463999998</v>
      </c>
      <c r="M70" s="268">
        <f t="shared" si="20"/>
        <v>5462.081363199999</v>
      </c>
      <c r="N70" s="268">
        <v>8021.63</v>
      </c>
      <c r="O70" s="269">
        <f t="shared" si="14"/>
        <v>3.499008711305747E-3</v>
      </c>
      <c r="P70" s="44"/>
      <c r="Q70" s="49"/>
      <c r="R70" s="124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4"/>
      <c r="AI70" s="44"/>
      <c r="AJ70" s="44"/>
    </row>
    <row r="71" spans="1:36" ht="27.6" x14ac:dyDescent="0.25">
      <c r="A71" s="94"/>
      <c r="B71" s="265" t="s">
        <v>113</v>
      </c>
      <c r="C71" s="266">
        <v>94966</v>
      </c>
      <c r="D71" s="265" t="s">
        <v>40</v>
      </c>
      <c r="E71" s="265" t="s">
        <v>1526</v>
      </c>
      <c r="F71" s="267" t="s">
        <v>58</v>
      </c>
      <c r="G71" s="279">
        <v>30.1</v>
      </c>
      <c r="H71" s="268">
        <v>443.46</v>
      </c>
      <c r="I71" s="268">
        <f>78.58*1.2488</f>
        <v>98.130703999999994</v>
      </c>
      <c r="J71" s="268">
        <f>364.88*1.2488</f>
        <v>455.66214399999996</v>
      </c>
      <c r="K71" s="268">
        <f>I71+J71</f>
        <v>553.79284799999994</v>
      </c>
      <c r="L71" s="268">
        <f>G71*I71</f>
        <v>2953.7341904</v>
      </c>
      <c r="M71" s="268">
        <f>G71*J71</f>
        <v>13715.430534399999</v>
      </c>
      <c r="N71" s="268">
        <v>16669.080000000002</v>
      </c>
      <c r="O71" s="269">
        <f t="shared" si="14"/>
        <v>7.2709980551898317E-3</v>
      </c>
      <c r="P71" s="44"/>
      <c r="Q71" s="49"/>
      <c r="R71" s="124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4"/>
      <c r="AI71" s="44"/>
      <c r="AJ71" s="44"/>
    </row>
    <row r="72" spans="1:36" ht="27.6" x14ac:dyDescent="0.25">
      <c r="A72" s="94"/>
      <c r="B72" s="265" t="s">
        <v>114</v>
      </c>
      <c r="C72" s="266">
        <v>95967</v>
      </c>
      <c r="D72" s="265" t="s">
        <v>40</v>
      </c>
      <c r="E72" s="265" t="s">
        <v>1525</v>
      </c>
      <c r="F72" s="267" t="s">
        <v>320</v>
      </c>
      <c r="G72" s="279">
        <f>(30.1/8)*4</f>
        <v>15.05</v>
      </c>
      <c r="H72" s="268">
        <v>172.93</v>
      </c>
      <c r="I72" s="268">
        <f>168.07*1.2488</f>
        <v>209.88581599999998</v>
      </c>
      <c r="J72" s="268">
        <f>4.86*1.2488</f>
        <v>6.0691680000000003</v>
      </c>
      <c r="K72" s="268">
        <f t="shared" ref="K72" si="21">I72+J72</f>
        <v>215.95498399999997</v>
      </c>
      <c r="L72" s="268">
        <f t="shared" ref="L72" si="22">G72*I72</f>
        <v>3158.7815307999999</v>
      </c>
      <c r="M72" s="268">
        <f t="shared" ref="M72" si="23">G72*J72</f>
        <v>91.340978400000012</v>
      </c>
      <c r="N72" s="268">
        <v>3250.05</v>
      </c>
      <c r="O72" s="269">
        <f t="shared" si="14"/>
        <v>1.4176611564207329E-3</v>
      </c>
      <c r="P72" s="44"/>
      <c r="Q72" s="49"/>
      <c r="R72" s="85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4"/>
      <c r="AI72" s="44"/>
      <c r="AJ72" s="44"/>
    </row>
    <row r="73" spans="1:36" x14ac:dyDescent="0.25">
      <c r="A73" s="94"/>
      <c r="B73" s="261" t="s">
        <v>115</v>
      </c>
      <c r="C73" s="261"/>
      <c r="D73" s="261"/>
      <c r="E73" s="261" t="s">
        <v>953</v>
      </c>
      <c r="F73" s="261"/>
      <c r="G73" s="278"/>
      <c r="H73" s="262"/>
      <c r="I73" s="261"/>
      <c r="J73" s="261"/>
      <c r="K73" s="261"/>
      <c r="L73" s="261"/>
      <c r="M73" s="261"/>
      <c r="N73" s="263">
        <f>SUM(N74:N83)</f>
        <v>161502.85999999999</v>
      </c>
      <c r="O73" s="264">
        <f>N73/$N$472</f>
        <v>7.0447018129830521E-2</v>
      </c>
      <c r="P73" s="44"/>
      <c r="Q73" s="49"/>
      <c r="R73" s="124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4"/>
      <c r="AI73" s="44"/>
      <c r="AJ73" s="44"/>
    </row>
    <row r="74" spans="1:36" ht="27.6" x14ac:dyDescent="0.25">
      <c r="A74" s="94"/>
      <c r="B74" s="265" t="s">
        <v>116</v>
      </c>
      <c r="C74" s="266" t="s">
        <v>983</v>
      </c>
      <c r="D74" s="265" t="s">
        <v>40</v>
      </c>
      <c r="E74" s="265" t="s">
        <v>984</v>
      </c>
      <c r="F74" s="267" t="s">
        <v>41</v>
      </c>
      <c r="G74" s="279">
        <v>56.6</v>
      </c>
      <c r="H74" s="268">
        <v>89.6</v>
      </c>
      <c r="I74" s="268">
        <f>29.89*1.2488</f>
        <v>37.326631999999996</v>
      </c>
      <c r="J74" s="268">
        <f>59.71*1.2488</f>
        <v>74.565848000000003</v>
      </c>
      <c r="K74" s="268">
        <f t="shared" ref="K74:K79" si="24">I74+J74</f>
        <v>111.89248000000001</v>
      </c>
      <c r="L74" s="268">
        <f t="shared" ref="L74:L79" si="25">G74*I74</f>
        <v>2112.6873711999997</v>
      </c>
      <c r="M74" s="268">
        <f t="shared" ref="M74:M79" si="26">G74*J74</f>
        <v>4220.4269967999999</v>
      </c>
      <c r="N74" s="268">
        <v>6332.97</v>
      </c>
      <c r="O74" s="269">
        <f t="shared" si="14"/>
        <v>2.7624207546892536E-3</v>
      </c>
      <c r="P74" s="44"/>
      <c r="Q74" s="49"/>
      <c r="R74" s="85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4"/>
      <c r="AI74" s="44"/>
      <c r="AJ74" s="44"/>
    </row>
    <row r="75" spans="1:36" ht="27.6" x14ac:dyDescent="0.25">
      <c r="A75" s="94"/>
      <c r="B75" s="265" t="s">
        <v>117</v>
      </c>
      <c r="C75" s="266" t="s">
        <v>119</v>
      </c>
      <c r="D75" s="265" t="s">
        <v>40</v>
      </c>
      <c r="E75" s="265" t="s">
        <v>120</v>
      </c>
      <c r="F75" s="267" t="s">
        <v>64</v>
      </c>
      <c r="G75" s="279">
        <v>395.6</v>
      </c>
      <c r="H75" s="268">
        <v>14.15</v>
      </c>
      <c r="I75" s="268">
        <f>4.07*1.2488</f>
        <v>5.0826159999999998</v>
      </c>
      <c r="J75" s="268">
        <f>10.08*1.2488</f>
        <v>12.587904</v>
      </c>
      <c r="K75" s="268">
        <f t="shared" si="24"/>
        <v>17.67052</v>
      </c>
      <c r="L75" s="268">
        <f t="shared" si="25"/>
        <v>2010.6828896</v>
      </c>
      <c r="M75" s="268">
        <f t="shared" si="26"/>
        <v>4979.7748224000006</v>
      </c>
      <c r="N75" s="268">
        <v>6990.25</v>
      </c>
      <c r="O75" s="269">
        <f t="shared" si="14"/>
        <v>3.0491241361425294E-3</v>
      </c>
      <c r="P75" s="44"/>
      <c r="Q75" s="49"/>
      <c r="R75" s="124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4"/>
      <c r="AI75" s="44"/>
      <c r="AJ75" s="44"/>
    </row>
    <row r="76" spans="1:36" ht="27.6" x14ac:dyDescent="0.25">
      <c r="A76" s="94"/>
      <c r="B76" s="265" t="s">
        <v>118</v>
      </c>
      <c r="C76" s="266" t="s">
        <v>122</v>
      </c>
      <c r="D76" s="265" t="s">
        <v>40</v>
      </c>
      <c r="E76" s="265" t="s">
        <v>123</v>
      </c>
      <c r="F76" s="267" t="s">
        <v>64</v>
      </c>
      <c r="G76" s="279">
        <v>213.2</v>
      </c>
      <c r="H76" s="268">
        <v>12.92</v>
      </c>
      <c r="I76" s="268">
        <f>2.59*1.2488</f>
        <v>3.2343919999999997</v>
      </c>
      <c r="J76" s="268">
        <f>10.33*1.2488</f>
        <v>12.900103999999999</v>
      </c>
      <c r="K76" s="268">
        <f t="shared" si="24"/>
        <v>16.134495999999999</v>
      </c>
      <c r="L76" s="268">
        <f t="shared" si="25"/>
        <v>689.57237439999994</v>
      </c>
      <c r="M76" s="268">
        <f t="shared" si="26"/>
        <v>2750.3021727999994</v>
      </c>
      <c r="N76" s="268">
        <v>3438.92</v>
      </c>
      <c r="O76" s="269">
        <f t="shared" si="14"/>
        <v>1.5000456313097911E-3</v>
      </c>
      <c r="P76" s="44"/>
      <c r="Q76" s="49"/>
      <c r="R76" s="85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4"/>
      <c r="AI76" s="44"/>
      <c r="AJ76" s="44"/>
    </row>
    <row r="77" spans="1:36" ht="27.6" x14ac:dyDescent="0.25">
      <c r="A77" s="94"/>
      <c r="B77" s="265" t="s">
        <v>121</v>
      </c>
      <c r="C77" s="266" t="s">
        <v>125</v>
      </c>
      <c r="D77" s="265" t="s">
        <v>40</v>
      </c>
      <c r="E77" s="265" t="s">
        <v>126</v>
      </c>
      <c r="F77" s="267" t="s">
        <v>64</v>
      </c>
      <c r="G77" s="279">
        <v>202.8</v>
      </c>
      <c r="H77" s="268">
        <v>11.85</v>
      </c>
      <c r="I77" s="268">
        <f>1.6*1.2488</f>
        <v>1.9980799999999999</v>
      </c>
      <c r="J77" s="268">
        <f>10.25*1.2488</f>
        <v>12.800199999999998</v>
      </c>
      <c r="K77" s="268">
        <f t="shared" si="24"/>
        <v>14.798279999999998</v>
      </c>
      <c r="L77" s="268">
        <f t="shared" si="25"/>
        <v>405.210624</v>
      </c>
      <c r="M77" s="268">
        <f t="shared" si="26"/>
        <v>2595.8805600000001</v>
      </c>
      <c r="N77" s="268">
        <v>3001.44</v>
      </c>
      <c r="O77" s="269">
        <f t="shared" si="14"/>
        <v>1.3092182893578389E-3</v>
      </c>
      <c r="P77" s="44"/>
      <c r="Q77" s="49"/>
      <c r="R77" s="124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4"/>
      <c r="AI77" s="44"/>
      <c r="AJ77" s="44"/>
    </row>
    <row r="78" spans="1:36" ht="27.6" x14ac:dyDescent="0.25">
      <c r="A78" s="94"/>
      <c r="B78" s="265" t="s">
        <v>124</v>
      </c>
      <c r="C78" s="266" t="s">
        <v>128</v>
      </c>
      <c r="D78" s="265" t="s">
        <v>40</v>
      </c>
      <c r="E78" s="265" t="s">
        <v>129</v>
      </c>
      <c r="F78" s="267" t="s">
        <v>64</v>
      </c>
      <c r="G78" s="279">
        <v>12.3</v>
      </c>
      <c r="H78" s="268">
        <v>10.4</v>
      </c>
      <c r="I78" s="268">
        <f>0.39*1.2488</f>
        <v>0.48703199999999996</v>
      </c>
      <c r="J78" s="268">
        <f>8.02*1.2488</f>
        <v>10.015375999999998</v>
      </c>
      <c r="K78" s="268">
        <f t="shared" si="24"/>
        <v>10.502407999999997</v>
      </c>
      <c r="L78" s="268">
        <f t="shared" si="25"/>
        <v>5.9904935999999998</v>
      </c>
      <c r="M78" s="268">
        <f t="shared" si="26"/>
        <v>123.18912479999999</v>
      </c>
      <c r="N78" s="268">
        <v>129.15</v>
      </c>
      <c r="O78" s="269">
        <f t="shared" si="14"/>
        <v>5.6334806649663135E-5</v>
      </c>
      <c r="P78" s="44"/>
      <c r="Q78" s="49"/>
      <c r="R78" s="85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4"/>
      <c r="AI78" s="44"/>
      <c r="AJ78" s="44"/>
    </row>
    <row r="79" spans="1:36" ht="27.6" x14ac:dyDescent="0.25">
      <c r="A79" s="94"/>
      <c r="B79" s="265" t="s">
        <v>127</v>
      </c>
      <c r="C79" s="266">
        <v>94966</v>
      </c>
      <c r="D79" s="265" t="s">
        <v>40</v>
      </c>
      <c r="E79" s="265" t="s">
        <v>1526</v>
      </c>
      <c r="F79" s="267" t="s">
        <v>58</v>
      </c>
      <c r="G79" s="279">
        <v>32.799999999999997</v>
      </c>
      <c r="H79" s="268">
        <v>443.46</v>
      </c>
      <c r="I79" s="268">
        <f>78.58*1.2488</f>
        <v>98.130703999999994</v>
      </c>
      <c r="J79" s="268">
        <f>364.88*1.2488</f>
        <v>455.66214399999996</v>
      </c>
      <c r="K79" s="268">
        <f t="shared" si="24"/>
        <v>553.79284799999994</v>
      </c>
      <c r="L79" s="268">
        <f t="shared" si="25"/>
        <v>3218.6870911999995</v>
      </c>
      <c r="M79" s="268">
        <f t="shared" si="26"/>
        <v>14945.718323199997</v>
      </c>
      <c r="N79" s="268">
        <v>18164.310000000001</v>
      </c>
      <c r="O79" s="269">
        <f t="shared" si="14"/>
        <v>7.9232124798648274E-3</v>
      </c>
      <c r="P79" s="44"/>
      <c r="Q79" s="49"/>
      <c r="R79" s="124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4"/>
      <c r="AI79" s="44"/>
      <c r="AJ79" s="44"/>
    </row>
    <row r="80" spans="1:36" ht="27.6" x14ac:dyDescent="0.25">
      <c r="A80" s="94"/>
      <c r="B80" s="265" t="s">
        <v>130</v>
      </c>
      <c r="C80" s="266">
        <v>95967</v>
      </c>
      <c r="D80" s="265" t="s">
        <v>40</v>
      </c>
      <c r="E80" s="265" t="s">
        <v>1525</v>
      </c>
      <c r="F80" s="267" t="s">
        <v>320</v>
      </c>
      <c r="G80" s="279">
        <f>(32.8/8)*4</f>
        <v>16.399999999999999</v>
      </c>
      <c r="H80" s="268">
        <v>172.93</v>
      </c>
      <c r="I80" s="268">
        <f>168.07*1.2488</f>
        <v>209.88581599999998</v>
      </c>
      <c r="J80" s="268">
        <f>4.86*1.2488</f>
        <v>6.0691680000000003</v>
      </c>
      <c r="K80" s="268">
        <f t="shared" ref="K80" si="27">I80+J80</f>
        <v>215.95498399999997</v>
      </c>
      <c r="L80" s="268">
        <f t="shared" ref="L80" si="28">G80*I80</f>
        <v>3442.1273823999995</v>
      </c>
      <c r="M80" s="268">
        <f t="shared" ref="M80" si="29">G80*J80</f>
        <v>99.534355199999993</v>
      </c>
      <c r="N80" s="268">
        <v>3541.58</v>
      </c>
      <c r="O80" s="269">
        <f t="shared" si="14"/>
        <v>1.5448255867929845E-3</v>
      </c>
      <c r="P80" s="44"/>
      <c r="Q80" s="49"/>
      <c r="R80" s="124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4"/>
      <c r="AI80" s="44"/>
      <c r="AJ80" s="44"/>
    </row>
    <row r="81" spans="1:36" ht="27.6" x14ac:dyDescent="0.25">
      <c r="A81" s="94"/>
      <c r="B81" s="265" t="s">
        <v>131</v>
      </c>
      <c r="C81" s="266" t="s">
        <v>1444</v>
      </c>
      <c r="D81" s="265" t="s">
        <v>200</v>
      </c>
      <c r="E81" s="265" t="s">
        <v>1445</v>
      </c>
      <c r="F81" s="267" t="s">
        <v>41</v>
      </c>
      <c r="G81" s="279">
        <v>93.94</v>
      </c>
      <c r="H81" s="268">
        <v>179.46</v>
      </c>
      <c r="I81" s="268">
        <f>38.03*1.2488</f>
        <v>47.491864</v>
      </c>
      <c r="J81" s="268">
        <f>141.43*1.2488</f>
        <v>176.617784</v>
      </c>
      <c r="K81" s="268">
        <f>I81+J81</f>
        <v>224.10964799999999</v>
      </c>
      <c r="L81" s="268">
        <f>G81*I81</f>
        <v>4461.3857041599995</v>
      </c>
      <c r="M81" s="268">
        <f>G81*J81</f>
        <v>16591.474628960001</v>
      </c>
      <c r="N81" s="268">
        <v>21052.89</v>
      </c>
      <c r="O81" s="269">
        <f t="shared" si="14"/>
        <v>9.1832016071748072E-3</v>
      </c>
      <c r="P81" s="44"/>
      <c r="Q81" s="49"/>
      <c r="R81" s="85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4"/>
      <c r="AI81" s="44"/>
      <c r="AJ81" s="44"/>
    </row>
    <row r="82" spans="1:36" ht="27.6" x14ac:dyDescent="0.25">
      <c r="A82" s="94"/>
      <c r="B82" s="265" t="s">
        <v>515</v>
      </c>
      <c r="C82" s="266" t="s">
        <v>1448</v>
      </c>
      <c r="D82" s="265" t="s">
        <v>200</v>
      </c>
      <c r="E82" s="265" t="s">
        <v>1446</v>
      </c>
      <c r="F82" s="267" t="s">
        <v>41</v>
      </c>
      <c r="G82" s="279">
        <v>358.88</v>
      </c>
      <c r="H82" s="268">
        <v>201.47</v>
      </c>
      <c r="I82" s="268">
        <f>38.03*1.2488</f>
        <v>47.491864</v>
      </c>
      <c r="J82" s="268">
        <f>163.44*1.2488</f>
        <v>204.103872</v>
      </c>
      <c r="K82" s="268">
        <f>I82+J82</f>
        <v>251.59573599999999</v>
      </c>
      <c r="L82" s="268">
        <f>G82*I82</f>
        <v>17043.880152319998</v>
      </c>
      <c r="M82" s="268">
        <f>G82*J82</f>
        <v>73248.797583359992</v>
      </c>
      <c r="N82" s="268">
        <v>90294.21</v>
      </c>
      <c r="O82" s="269">
        <f t="shared" si="14"/>
        <v>3.9386038419930929E-2</v>
      </c>
      <c r="P82" s="44"/>
      <c r="Q82" s="49"/>
      <c r="R82" s="124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4"/>
      <c r="AI82" s="44"/>
      <c r="AJ82" s="44"/>
    </row>
    <row r="83" spans="1:36" ht="27.6" x14ac:dyDescent="0.25">
      <c r="A83" s="94"/>
      <c r="B83" s="265" t="s">
        <v>516</v>
      </c>
      <c r="C83" s="266" t="s">
        <v>1447</v>
      </c>
      <c r="D83" s="265" t="s">
        <v>40</v>
      </c>
      <c r="E83" s="265" t="s">
        <v>1449</v>
      </c>
      <c r="F83" s="267" t="s">
        <v>41</v>
      </c>
      <c r="G83" s="279">
        <v>28.18</v>
      </c>
      <c r="H83" s="268">
        <v>243.16</v>
      </c>
      <c r="I83" s="268">
        <f>41.48*1.2488</f>
        <v>51.800223999999993</v>
      </c>
      <c r="J83" s="268">
        <f>201.68*1.2488</f>
        <v>251.85798399999999</v>
      </c>
      <c r="K83" s="268">
        <f>I83+J83</f>
        <v>303.658208</v>
      </c>
      <c r="L83" s="268">
        <f>G83*I83</f>
        <v>1459.7303123199997</v>
      </c>
      <c r="M83" s="268">
        <f>G83*J83</f>
        <v>7097.3579891199997</v>
      </c>
      <c r="N83" s="268">
        <v>8557.14</v>
      </c>
      <c r="O83" s="269">
        <f t="shared" si="14"/>
        <v>3.732596417917912E-3</v>
      </c>
      <c r="P83" s="44"/>
      <c r="Q83" s="49"/>
      <c r="R83" s="124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4"/>
      <c r="AI83" s="44"/>
      <c r="AJ83" s="44"/>
    </row>
    <row r="84" spans="1:36" x14ac:dyDescent="0.25">
      <c r="A84" s="94"/>
      <c r="B84" s="261" t="s">
        <v>1253</v>
      </c>
      <c r="C84" s="261"/>
      <c r="D84" s="261"/>
      <c r="E84" s="261" t="s">
        <v>1254</v>
      </c>
      <c r="F84" s="261"/>
      <c r="G84" s="278"/>
      <c r="H84" s="262"/>
      <c r="I84" s="261"/>
      <c r="J84" s="261"/>
      <c r="K84" s="261"/>
      <c r="L84" s="261"/>
      <c r="M84" s="261"/>
      <c r="N84" s="263">
        <f>SUM(N85)</f>
        <v>1904.5</v>
      </c>
      <c r="O84" s="264">
        <f>N84/$N$472</f>
        <v>8.3073665709859407E-4</v>
      </c>
      <c r="P84" s="44"/>
      <c r="Q84" s="49"/>
      <c r="R84" s="85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4"/>
      <c r="AI84" s="44"/>
      <c r="AJ84" s="44"/>
    </row>
    <row r="85" spans="1:36" ht="27.6" x14ac:dyDescent="0.25">
      <c r="A85" s="94"/>
      <c r="B85" s="265" t="s">
        <v>1255</v>
      </c>
      <c r="C85" s="266" t="s">
        <v>1256</v>
      </c>
      <c r="D85" s="265" t="s">
        <v>40</v>
      </c>
      <c r="E85" s="265" t="s">
        <v>1257</v>
      </c>
      <c r="F85" s="267" t="s">
        <v>41</v>
      </c>
      <c r="G85" s="279">
        <v>6.25</v>
      </c>
      <c r="H85" s="268">
        <v>244.06</v>
      </c>
      <c r="I85" s="268">
        <f>31.06*1.2488</f>
        <v>38.787727999999994</v>
      </c>
      <c r="J85" s="268">
        <f>212.95*1.2488</f>
        <v>265.93195999999995</v>
      </c>
      <c r="K85" s="268">
        <f>I85+J85</f>
        <v>304.71968799999996</v>
      </c>
      <c r="L85" s="268">
        <f>G85*I85</f>
        <v>242.42329999999995</v>
      </c>
      <c r="M85" s="268">
        <f>G85*J85</f>
        <v>1662.0747499999998</v>
      </c>
      <c r="N85" s="268">
        <v>1904.5</v>
      </c>
      <c r="O85" s="269">
        <f t="shared" si="14"/>
        <v>8.3073665709859407E-4</v>
      </c>
      <c r="P85" s="44"/>
      <c r="Q85" s="49"/>
      <c r="R85" s="124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4"/>
      <c r="AI85" s="44"/>
      <c r="AJ85" s="44"/>
    </row>
    <row r="86" spans="1:36" x14ac:dyDescent="0.25">
      <c r="A86" s="94"/>
      <c r="B86" s="261">
        <v>4</v>
      </c>
      <c r="C86" s="261"/>
      <c r="D86" s="261"/>
      <c r="E86" s="261" t="s">
        <v>519</v>
      </c>
      <c r="F86" s="261"/>
      <c r="G86" s="278"/>
      <c r="H86" s="262"/>
      <c r="I86" s="261"/>
      <c r="J86" s="261"/>
      <c r="K86" s="261"/>
      <c r="L86" s="261"/>
      <c r="M86" s="261"/>
      <c r="N86" s="263">
        <f>N87+N94+N99</f>
        <v>177322.04000000004</v>
      </c>
      <c r="O86" s="264">
        <f>N86/$N$472</f>
        <v>7.7347292590970451E-2</v>
      </c>
      <c r="P86" s="44"/>
      <c r="Q86" s="49"/>
      <c r="R86" s="85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4"/>
      <c r="AI86" s="44"/>
      <c r="AJ86" s="44"/>
    </row>
    <row r="87" spans="1:36" x14ac:dyDescent="0.25">
      <c r="A87" s="94"/>
      <c r="B87" s="261" t="s">
        <v>132</v>
      </c>
      <c r="C87" s="261"/>
      <c r="D87" s="261"/>
      <c r="E87" s="261" t="s">
        <v>520</v>
      </c>
      <c r="F87" s="261"/>
      <c r="G87" s="278"/>
      <c r="H87" s="262"/>
      <c r="I87" s="261"/>
      <c r="J87" s="261"/>
      <c r="K87" s="261"/>
      <c r="L87" s="261"/>
      <c r="M87" s="261"/>
      <c r="N87" s="263">
        <f>SUM(N88:N93)</f>
        <v>122547.53000000003</v>
      </c>
      <c r="O87" s="264">
        <f>N87/$N$472</f>
        <v>5.3454830878387871E-2</v>
      </c>
      <c r="P87" s="44"/>
      <c r="Q87" s="49"/>
      <c r="R87" s="124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4"/>
      <c r="AI87" s="44"/>
      <c r="AJ87" s="44"/>
    </row>
    <row r="88" spans="1:36" ht="27.6" x14ac:dyDescent="0.25">
      <c r="A88" s="94"/>
      <c r="B88" s="265" t="s">
        <v>521</v>
      </c>
      <c r="C88" s="266" t="s">
        <v>1155</v>
      </c>
      <c r="D88" s="265" t="s">
        <v>40</v>
      </c>
      <c r="E88" s="265" t="s">
        <v>1156</v>
      </c>
      <c r="F88" s="267" t="s">
        <v>41</v>
      </c>
      <c r="G88" s="279">
        <v>12.85</v>
      </c>
      <c r="H88" s="268">
        <v>62.42</v>
      </c>
      <c r="I88" s="268">
        <f>22.05*1.2488</f>
        <v>27.53604</v>
      </c>
      <c r="J88" s="268">
        <f>40.37*1.2488</f>
        <v>50.414055999999995</v>
      </c>
      <c r="K88" s="268">
        <f t="shared" ref="K88:K93" si="30">I88+J88</f>
        <v>77.950096000000002</v>
      </c>
      <c r="L88" s="268">
        <f t="shared" ref="L88:L93" si="31">G88*I88</f>
        <v>353.83811399999996</v>
      </c>
      <c r="M88" s="268">
        <f t="shared" ref="M88:M93" si="32">G88*J88</f>
        <v>647.82061959999987</v>
      </c>
      <c r="N88" s="268">
        <v>1001.66</v>
      </c>
      <c r="O88" s="269">
        <f t="shared" si="14"/>
        <v>4.3692080858460372E-4</v>
      </c>
      <c r="P88" s="44"/>
      <c r="Q88" s="49"/>
      <c r="R88" s="85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4"/>
      <c r="AI88" s="44"/>
      <c r="AJ88" s="44"/>
    </row>
    <row r="89" spans="1:36" ht="27.6" x14ac:dyDescent="0.25">
      <c r="A89" s="94"/>
      <c r="B89" s="265" t="s">
        <v>522</v>
      </c>
      <c r="C89" s="266" t="s">
        <v>1157</v>
      </c>
      <c r="D89" s="265" t="s">
        <v>40</v>
      </c>
      <c r="E89" s="265" t="s">
        <v>1158</v>
      </c>
      <c r="F89" s="267" t="s">
        <v>41</v>
      </c>
      <c r="G89" s="279">
        <v>713.84</v>
      </c>
      <c r="H89" s="268">
        <v>84.31</v>
      </c>
      <c r="I89" s="268">
        <f>31.86*1.2488</f>
        <v>39.786767999999995</v>
      </c>
      <c r="J89" s="268">
        <f>52.45*1.2488</f>
        <v>65.499560000000002</v>
      </c>
      <c r="K89" s="268">
        <f t="shared" si="30"/>
        <v>105.286328</v>
      </c>
      <c r="L89" s="268">
        <f t="shared" si="31"/>
        <v>28401.386469119996</v>
      </c>
      <c r="M89" s="268">
        <f t="shared" si="32"/>
        <v>46756.205910400007</v>
      </c>
      <c r="N89" s="268">
        <v>75160.210000000006</v>
      </c>
      <c r="O89" s="269">
        <f t="shared" si="14"/>
        <v>3.2784637228788834E-2</v>
      </c>
      <c r="P89" s="44"/>
      <c r="Q89" s="49"/>
      <c r="R89" s="124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4"/>
      <c r="AI89" s="44"/>
      <c r="AJ89" s="44"/>
    </row>
    <row r="90" spans="1:36" ht="27.6" x14ac:dyDescent="0.25">
      <c r="A90" s="94"/>
      <c r="B90" s="265" t="s">
        <v>523</v>
      </c>
      <c r="C90" s="266">
        <v>101162</v>
      </c>
      <c r="D90" s="265" t="s">
        <v>40</v>
      </c>
      <c r="E90" s="265" t="s">
        <v>1450</v>
      </c>
      <c r="F90" s="267" t="s">
        <v>41</v>
      </c>
      <c r="G90" s="279">
        <v>120.962</v>
      </c>
      <c r="H90" s="268">
        <v>175.28</v>
      </c>
      <c r="I90" s="268">
        <f>80.89*1.2488</f>
        <v>101.01543199999999</v>
      </c>
      <c r="J90" s="268">
        <f>94.39*1.2488</f>
        <v>117.87423199999999</v>
      </c>
      <c r="K90" s="268">
        <f t="shared" si="30"/>
        <v>218.88966399999998</v>
      </c>
      <c r="L90" s="268">
        <f t="shared" si="31"/>
        <v>12219.028685583999</v>
      </c>
      <c r="M90" s="268">
        <f t="shared" si="32"/>
        <v>14258.302851184</v>
      </c>
      <c r="N90" s="268">
        <v>26476.93</v>
      </c>
      <c r="O90" s="269">
        <f t="shared" si="14"/>
        <v>1.1549150075312932E-2</v>
      </c>
      <c r="P90" s="44"/>
      <c r="Q90" s="49"/>
      <c r="R90" s="85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4"/>
      <c r="AI90" s="44"/>
      <c r="AJ90" s="44"/>
    </row>
    <row r="91" spans="1:36" x14ac:dyDescent="0.25">
      <c r="A91" s="94"/>
      <c r="B91" s="265" t="s">
        <v>524</v>
      </c>
      <c r="C91" s="266" t="s">
        <v>135</v>
      </c>
      <c r="D91" s="265" t="s">
        <v>40</v>
      </c>
      <c r="E91" s="265" t="s">
        <v>987</v>
      </c>
      <c r="F91" s="267" t="s">
        <v>54</v>
      </c>
      <c r="G91" s="279">
        <v>103.5</v>
      </c>
      <c r="H91" s="268">
        <v>71.08</v>
      </c>
      <c r="I91" s="268">
        <f>20.5*1.2488</f>
        <v>25.600399999999997</v>
      </c>
      <c r="J91" s="268">
        <f>50.58*1.2488</f>
        <v>63.164303999999994</v>
      </c>
      <c r="K91" s="268">
        <f t="shared" si="30"/>
        <v>88.764703999999995</v>
      </c>
      <c r="L91" s="268">
        <f t="shared" si="31"/>
        <v>2649.6413999999995</v>
      </c>
      <c r="M91" s="268">
        <f t="shared" si="32"/>
        <v>6537.5054639999998</v>
      </c>
      <c r="N91" s="268">
        <v>9186.66</v>
      </c>
      <c r="O91" s="269">
        <f t="shared" si="14"/>
        <v>4.0071909783677452E-3</v>
      </c>
      <c r="P91" s="44"/>
      <c r="Q91" s="49"/>
      <c r="R91" s="124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4"/>
      <c r="AI91" s="44"/>
      <c r="AJ91" s="44"/>
    </row>
    <row r="92" spans="1:36" ht="27.6" x14ac:dyDescent="0.25">
      <c r="A92" s="94"/>
      <c r="B92" s="265" t="s">
        <v>525</v>
      </c>
      <c r="C92" s="266" t="s">
        <v>136</v>
      </c>
      <c r="D92" s="265" t="s">
        <v>40</v>
      </c>
      <c r="E92" s="265" t="s">
        <v>988</v>
      </c>
      <c r="F92" s="267" t="s">
        <v>54</v>
      </c>
      <c r="G92" s="279">
        <v>69.2</v>
      </c>
      <c r="H92" s="268">
        <v>48.94</v>
      </c>
      <c r="I92" s="268">
        <f>13.68*1.2488</f>
        <v>17.083583999999998</v>
      </c>
      <c r="J92" s="268">
        <f>35.26*1.2488</f>
        <v>44.032687999999993</v>
      </c>
      <c r="K92" s="268">
        <f t="shared" si="30"/>
        <v>61.116271999999995</v>
      </c>
      <c r="L92" s="268">
        <f t="shared" si="31"/>
        <v>1182.1840127999999</v>
      </c>
      <c r="M92" s="268">
        <f t="shared" si="32"/>
        <v>3047.0620095999998</v>
      </c>
      <c r="N92" s="268">
        <v>4229.5</v>
      </c>
      <c r="O92" s="269">
        <f t="shared" si="14"/>
        <v>1.8448940358091383E-3</v>
      </c>
      <c r="P92" s="44"/>
      <c r="Q92" s="49"/>
      <c r="R92" s="124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4"/>
      <c r="AI92" s="44"/>
      <c r="AJ92" s="44"/>
    </row>
    <row r="93" spans="1:36" ht="27.6" x14ac:dyDescent="0.25">
      <c r="A93" s="94"/>
      <c r="B93" s="265" t="s">
        <v>526</v>
      </c>
      <c r="C93" s="266">
        <v>93200</v>
      </c>
      <c r="D93" s="265" t="s">
        <v>40</v>
      </c>
      <c r="E93" s="265" t="s">
        <v>1564</v>
      </c>
      <c r="F93" s="267" t="s">
        <v>54</v>
      </c>
      <c r="G93" s="279">
        <v>389.71</v>
      </c>
      <c r="H93" s="268">
        <v>13.34</v>
      </c>
      <c r="I93" s="268">
        <f>11.41*1.2488</f>
        <v>14.248807999999999</v>
      </c>
      <c r="J93" s="268">
        <f>1.93*1.2488</f>
        <v>2.4101839999999997</v>
      </c>
      <c r="K93" s="268">
        <f t="shared" si="30"/>
        <v>16.658991999999998</v>
      </c>
      <c r="L93" s="268">
        <f t="shared" si="31"/>
        <v>5552.9029656799994</v>
      </c>
      <c r="M93" s="268">
        <f t="shared" si="32"/>
        <v>939.27280663999977</v>
      </c>
      <c r="N93" s="268">
        <v>6492.57</v>
      </c>
      <c r="O93" s="269">
        <f t="shared" si="14"/>
        <v>2.8320377515246094E-3</v>
      </c>
      <c r="P93" s="283"/>
      <c r="Q93" s="49"/>
      <c r="R93" s="85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4"/>
      <c r="AI93" s="44"/>
      <c r="AJ93" s="44"/>
    </row>
    <row r="94" spans="1:36" x14ac:dyDescent="0.25">
      <c r="A94" s="94"/>
      <c r="B94" s="261" t="s">
        <v>133</v>
      </c>
      <c r="C94" s="261"/>
      <c r="D94" s="261"/>
      <c r="E94" s="261" t="s">
        <v>821</v>
      </c>
      <c r="F94" s="261"/>
      <c r="G94" s="278"/>
      <c r="H94" s="262"/>
      <c r="I94" s="261"/>
      <c r="J94" s="261"/>
      <c r="K94" s="261"/>
      <c r="L94" s="261"/>
      <c r="M94" s="261"/>
      <c r="N94" s="263">
        <f>SUM(N95:N98)</f>
        <v>54709.380000000005</v>
      </c>
      <c r="O94" s="264">
        <f>N94/$N$472</f>
        <v>2.3864052220077023E-2</v>
      </c>
      <c r="P94" s="44"/>
      <c r="Q94" s="49"/>
      <c r="R94" s="124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4"/>
      <c r="AI94" s="44"/>
      <c r="AJ94" s="44"/>
    </row>
    <row r="95" spans="1:36" ht="41.4" x14ac:dyDescent="0.25">
      <c r="A95" s="94"/>
      <c r="B95" s="265" t="s">
        <v>527</v>
      </c>
      <c r="C95" s="266" t="s">
        <v>528</v>
      </c>
      <c r="D95" s="265" t="s">
        <v>40</v>
      </c>
      <c r="E95" s="265" t="s">
        <v>529</v>
      </c>
      <c r="F95" s="267" t="s">
        <v>41</v>
      </c>
      <c r="G95" s="279">
        <v>36.94</v>
      </c>
      <c r="H95" s="268">
        <v>98.49</v>
      </c>
      <c r="I95" s="268">
        <f>16.88*1.2488</f>
        <v>21.079743999999998</v>
      </c>
      <c r="J95" s="268">
        <f>81.61*1.2488</f>
        <v>101.91456799999999</v>
      </c>
      <c r="K95" s="268">
        <f>I95+J95</f>
        <v>122.99431199999998</v>
      </c>
      <c r="L95" s="268">
        <f>G95*I95</f>
        <v>778.68574335999983</v>
      </c>
      <c r="M95" s="268">
        <f>G95*J95</f>
        <v>3764.7241419199995</v>
      </c>
      <c r="N95" s="268">
        <v>4543.25</v>
      </c>
      <c r="O95" s="269">
        <f t="shared" si="14"/>
        <v>1.9817507573448084E-3</v>
      </c>
      <c r="P95" s="44"/>
      <c r="Q95" s="49"/>
      <c r="R95" s="124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4"/>
      <c r="AI95" s="44"/>
      <c r="AJ95" s="44"/>
    </row>
    <row r="96" spans="1:36" ht="41.4" x14ac:dyDescent="0.25">
      <c r="A96" s="94"/>
      <c r="B96" s="265" t="s">
        <v>530</v>
      </c>
      <c r="C96" s="266">
        <v>96361</v>
      </c>
      <c r="D96" s="265" t="s">
        <v>40</v>
      </c>
      <c r="E96" s="265" t="s">
        <v>941</v>
      </c>
      <c r="F96" s="267" t="s">
        <v>41</v>
      </c>
      <c r="G96" s="279">
        <v>180.09</v>
      </c>
      <c r="H96" s="268">
        <v>130.68</v>
      </c>
      <c r="I96" s="268">
        <f>20.58*1.2488</f>
        <v>25.700303999999996</v>
      </c>
      <c r="J96" s="268">
        <f>110.1*1.2488</f>
        <v>137.49287999999999</v>
      </c>
      <c r="K96" s="268">
        <f>I96+J96</f>
        <v>163.19318399999997</v>
      </c>
      <c r="L96" s="268">
        <f>G96*I96</f>
        <v>4628.3677473599992</v>
      </c>
      <c r="M96" s="268">
        <f>G96*J96</f>
        <v>24761.092759199997</v>
      </c>
      <c r="N96" s="268">
        <v>29388.89</v>
      </c>
      <c r="O96" s="269">
        <f t="shared" si="14"/>
        <v>1.281933748198388E-2</v>
      </c>
      <c r="P96" s="44"/>
      <c r="Q96" s="49"/>
      <c r="R96" s="85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4"/>
      <c r="AI96" s="44"/>
      <c r="AJ96" s="44"/>
    </row>
    <row r="97" spans="1:36" ht="41.4" x14ac:dyDescent="0.25">
      <c r="A97" s="94"/>
      <c r="B97" s="265" t="s">
        <v>531</v>
      </c>
      <c r="C97" s="266" t="s">
        <v>528</v>
      </c>
      <c r="D97" s="265" t="s">
        <v>40</v>
      </c>
      <c r="E97" s="265" t="s">
        <v>529</v>
      </c>
      <c r="F97" s="267" t="s">
        <v>41</v>
      </c>
      <c r="G97" s="279">
        <v>84.45</v>
      </c>
      <c r="H97" s="268">
        <v>98.49</v>
      </c>
      <c r="I97" s="268">
        <f>16.88*1.2488</f>
        <v>21.079743999999998</v>
      </c>
      <c r="J97" s="268">
        <f>81.61*1.2488</f>
        <v>101.91456799999999</v>
      </c>
      <c r="K97" s="268">
        <f>I97+J97</f>
        <v>122.99431199999998</v>
      </c>
      <c r="L97" s="268">
        <f>G97*I97</f>
        <v>1780.1843807999999</v>
      </c>
      <c r="M97" s="268">
        <f>G97*J97</f>
        <v>8606.6852675999999</v>
      </c>
      <c r="N97" s="268">
        <v>10386.51</v>
      </c>
      <c r="O97" s="269">
        <f t="shared" si="14"/>
        <v>4.5305616152906897E-3</v>
      </c>
      <c r="P97" s="44"/>
      <c r="Q97" s="49"/>
      <c r="R97" s="124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4"/>
      <c r="AI97" s="44"/>
      <c r="AJ97" s="44"/>
    </row>
    <row r="98" spans="1:36" ht="41.4" x14ac:dyDescent="0.25">
      <c r="A98" s="94"/>
      <c r="B98" s="265" t="s">
        <v>916</v>
      </c>
      <c r="C98" s="266">
        <v>96363</v>
      </c>
      <c r="D98" s="265" t="s">
        <v>40</v>
      </c>
      <c r="E98" s="265" t="s">
        <v>992</v>
      </c>
      <c r="F98" s="267" t="s">
        <v>41</v>
      </c>
      <c r="G98" s="279">
        <v>66.040000000000006</v>
      </c>
      <c r="H98" s="268">
        <v>125.99</v>
      </c>
      <c r="I98" s="268">
        <f>20.02*1.2488</f>
        <v>25.000975999999998</v>
      </c>
      <c r="J98" s="268">
        <f>105.97*1.2488</f>
        <v>132.33533599999998</v>
      </c>
      <c r="K98" s="268">
        <f>I98+J98</f>
        <v>157.33631199999999</v>
      </c>
      <c r="L98" s="268">
        <f>G98*I98</f>
        <v>1651.06445504</v>
      </c>
      <c r="M98" s="268">
        <f>G98*J98</f>
        <v>8739.4255894399994</v>
      </c>
      <c r="N98" s="268">
        <v>10390.73</v>
      </c>
      <c r="O98" s="269">
        <f t="shared" si="14"/>
        <v>4.5324023654576395E-3</v>
      </c>
      <c r="P98" s="44"/>
      <c r="Q98" s="49"/>
      <c r="R98" s="85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4"/>
      <c r="AI98" s="44"/>
      <c r="AJ98" s="44"/>
    </row>
    <row r="99" spans="1:36" x14ac:dyDescent="0.25">
      <c r="A99" s="94"/>
      <c r="B99" s="261" t="s">
        <v>134</v>
      </c>
      <c r="C99" s="261"/>
      <c r="D99" s="261"/>
      <c r="E99" s="261" t="s">
        <v>268</v>
      </c>
      <c r="F99" s="261"/>
      <c r="G99" s="278"/>
      <c r="H99" s="262"/>
      <c r="I99" s="261"/>
      <c r="J99" s="261"/>
      <c r="K99" s="261"/>
      <c r="L99" s="261"/>
      <c r="M99" s="261"/>
      <c r="N99" s="263">
        <f>SUM(N100)</f>
        <v>65.13</v>
      </c>
      <c r="O99" s="264">
        <f>N99/$N$472</f>
        <v>2.8409492505556013E-5</v>
      </c>
      <c r="P99" s="44"/>
      <c r="Q99" s="49"/>
      <c r="R99" s="124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4"/>
      <c r="AI99" s="44"/>
      <c r="AJ99" s="44"/>
    </row>
    <row r="100" spans="1:36" ht="27.6" x14ac:dyDescent="0.25">
      <c r="A100" s="94"/>
      <c r="B100" s="265" t="s">
        <v>532</v>
      </c>
      <c r="C100" s="266" t="s">
        <v>270</v>
      </c>
      <c r="D100" s="265" t="s">
        <v>40</v>
      </c>
      <c r="E100" s="265" t="s">
        <v>271</v>
      </c>
      <c r="F100" s="267" t="s">
        <v>41</v>
      </c>
      <c r="G100" s="279">
        <v>0.15</v>
      </c>
      <c r="H100" s="268">
        <v>347.7</v>
      </c>
      <c r="I100" s="268">
        <f>77.64*1.2488</f>
        <v>96.956831999999991</v>
      </c>
      <c r="J100" s="268">
        <f>270.06*1.2488</f>
        <v>337.25092799999999</v>
      </c>
      <c r="K100" s="268">
        <f>I100+J100</f>
        <v>434.20776000000001</v>
      </c>
      <c r="L100" s="268">
        <f>G100*I100</f>
        <v>14.543524799999998</v>
      </c>
      <c r="M100" s="268">
        <f>G100*J100</f>
        <v>50.587639199999998</v>
      </c>
      <c r="N100" s="268">
        <v>65.13</v>
      </c>
      <c r="O100" s="269">
        <f t="shared" si="14"/>
        <v>2.8409492505556013E-5</v>
      </c>
      <c r="P100" s="44"/>
      <c r="Q100" s="49"/>
      <c r="R100" s="124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4"/>
      <c r="AI100" s="44"/>
      <c r="AJ100" s="44"/>
    </row>
    <row r="101" spans="1:36" x14ac:dyDescent="0.25">
      <c r="A101" s="94"/>
      <c r="B101" s="261">
        <v>5</v>
      </c>
      <c r="C101" s="261"/>
      <c r="D101" s="261"/>
      <c r="E101" s="261" t="s">
        <v>145</v>
      </c>
      <c r="F101" s="261"/>
      <c r="G101" s="278"/>
      <c r="H101" s="262"/>
      <c r="I101" s="261"/>
      <c r="J101" s="261"/>
      <c r="K101" s="261"/>
      <c r="L101" s="261"/>
      <c r="M101" s="261"/>
      <c r="N101" s="263">
        <f>N102+N106+N109</f>
        <v>88308.860000000015</v>
      </c>
      <c r="O101" s="264">
        <f>N101/$N$472</f>
        <v>3.8520035257856536E-2</v>
      </c>
      <c r="P101" s="44"/>
      <c r="Q101" s="49"/>
      <c r="R101" s="124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4"/>
      <c r="AI101" s="44"/>
      <c r="AJ101" s="44"/>
    </row>
    <row r="102" spans="1:36" x14ac:dyDescent="0.25">
      <c r="A102" s="94"/>
      <c r="B102" s="261" t="s">
        <v>138</v>
      </c>
      <c r="C102" s="261"/>
      <c r="D102" s="261"/>
      <c r="E102" s="261" t="s">
        <v>81</v>
      </c>
      <c r="F102" s="261"/>
      <c r="G102" s="278"/>
      <c r="H102" s="262"/>
      <c r="I102" s="261"/>
      <c r="J102" s="261"/>
      <c r="K102" s="261"/>
      <c r="L102" s="261"/>
      <c r="M102" s="261"/>
      <c r="N102" s="263">
        <f>SUM(N103:N105)</f>
        <v>34429.53</v>
      </c>
      <c r="O102" s="264">
        <f>N102/$N$472</f>
        <v>1.5018048126897221E-2</v>
      </c>
      <c r="P102" s="44"/>
      <c r="Q102" s="49"/>
      <c r="R102" s="124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4"/>
      <c r="AI102" s="44"/>
      <c r="AJ102" s="44"/>
    </row>
    <row r="103" spans="1:36" ht="41.4" x14ac:dyDescent="0.25">
      <c r="A103" s="94"/>
      <c r="B103" s="265" t="s">
        <v>533</v>
      </c>
      <c r="C103" s="266" t="s">
        <v>993</v>
      </c>
      <c r="D103" s="265" t="s">
        <v>40</v>
      </c>
      <c r="E103" s="265" t="s">
        <v>994</v>
      </c>
      <c r="F103" s="267" t="s">
        <v>64</v>
      </c>
      <c r="G103" s="279">
        <v>391.45660720000001</v>
      </c>
      <c r="H103" s="268">
        <v>19.71</v>
      </c>
      <c r="I103" s="268">
        <f>1.28*1.2488</f>
        <v>1.5984639999999999</v>
      </c>
      <c r="J103" s="268">
        <f>18.43*1.2488</f>
        <v>23.015383999999997</v>
      </c>
      <c r="K103" s="268">
        <f>I103+J103</f>
        <v>24.613847999999997</v>
      </c>
      <c r="L103" s="268">
        <f>G103*I103</f>
        <v>625.72929417134071</v>
      </c>
      <c r="M103" s="268">
        <f>G103*J103</f>
        <v>9009.5241340451648</v>
      </c>
      <c r="N103" s="268">
        <v>9633.83</v>
      </c>
      <c r="O103" s="269">
        <f t="shared" si="14"/>
        <v>4.2022450665561298E-3</v>
      </c>
      <c r="P103" s="44"/>
      <c r="Q103" s="49"/>
      <c r="R103" s="124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4"/>
      <c r="AI103" s="44"/>
      <c r="AJ103" s="44"/>
    </row>
    <row r="104" spans="1:36" ht="41.4" x14ac:dyDescent="0.25">
      <c r="A104" s="94"/>
      <c r="B104" s="265" t="s">
        <v>822</v>
      </c>
      <c r="C104" s="266" t="s">
        <v>149</v>
      </c>
      <c r="D104" s="265" t="s">
        <v>40</v>
      </c>
      <c r="E104" s="265" t="s">
        <v>150</v>
      </c>
      <c r="F104" s="267" t="s">
        <v>41</v>
      </c>
      <c r="G104" s="279">
        <v>359.41</v>
      </c>
      <c r="H104" s="268">
        <v>28.51</v>
      </c>
      <c r="I104" s="268">
        <f>5.52*1.2488</f>
        <v>6.8933759999999991</v>
      </c>
      <c r="J104" s="268">
        <f>22.99*1.2488</f>
        <v>28.709911999999996</v>
      </c>
      <c r="K104" s="268">
        <f>I104+J104</f>
        <v>35.603287999999992</v>
      </c>
      <c r="L104" s="268">
        <f>G104*I104</f>
        <v>2477.5482681599997</v>
      </c>
      <c r="M104" s="268">
        <f>G104*J104</f>
        <v>10318.62947192</v>
      </c>
      <c r="N104" s="268">
        <v>12795</v>
      </c>
      <c r="O104" s="269">
        <f t="shared" si="14"/>
        <v>5.5811370583231882E-3</v>
      </c>
      <c r="P104" s="44"/>
      <c r="Q104" s="49"/>
      <c r="R104" s="124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4"/>
      <c r="AI104" s="44"/>
      <c r="AJ104" s="44"/>
    </row>
    <row r="105" spans="1:36" ht="41.4" x14ac:dyDescent="0.25">
      <c r="A105" s="94"/>
      <c r="B105" s="265" t="s">
        <v>1125</v>
      </c>
      <c r="C105" s="266" t="s">
        <v>151</v>
      </c>
      <c r="D105" s="265" t="s">
        <v>40</v>
      </c>
      <c r="E105" s="265" t="s">
        <v>152</v>
      </c>
      <c r="F105" s="267" t="s">
        <v>41</v>
      </c>
      <c r="G105" s="279">
        <v>359.41</v>
      </c>
      <c r="H105" s="268">
        <v>26.74</v>
      </c>
      <c r="I105" s="268">
        <f>4.67*1.2488</f>
        <v>5.8318959999999995</v>
      </c>
      <c r="J105" s="268">
        <f>22.07*1.2488</f>
        <v>27.561015999999999</v>
      </c>
      <c r="K105" s="268">
        <f>I105+J105</f>
        <v>33.392911999999995</v>
      </c>
      <c r="L105" s="268">
        <f>G105*I105</f>
        <v>2096.0417413599998</v>
      </c>
      <c r="M105" s="268">
        <f>G105*J105</f>
        <v>9905.7047605600001</v>
      </c>
      <c r="N105" s="268">
        <v>12000.7</v>
      </c>
      <c r="O105" s="269">
        <f t="shared" si="14"/>
        <v>5.2346660020179047E-3</v>
      </c>
      <c r="P105" s="44"/>
      <c r="Q105" s="49"/>
      <c r="R105" s="124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4"/>
      <c r="AI105" s="44"/>
      <c r="AJ105" s="44"/>
    </row>
    <row r="106" spans="1:36" x14ac:dyDescent="0.25">
      <c r="A106" s="94"/>
      <c r="B106" s="261" t="s">
        <v>141</v>
      </c>
      <c r="C106" s="261"/>
      <c r="D106" s="261"/>
      <c r="E106" s="261" t="s">
        <v>549</v>
      </c>
      <c r="F106" s="261"/>
      <c r="G106" s="278"/>
      <c r="H106" s="262"/>
      <c r="I106" s="261"/>
      <c r="J106" s="261"/>
      <c r="K106" s="261"/>
      <c r="L106" s="261"/>
      <c r="M106" s="261"/>
      <c r="N106" s="263">
        <f>SUM(N107:N108)</f>
        <v>31568.730000000003</v>
      </c>
      <c r="O106" s="264">
        <f>N106/$N$472</f>
        <v>1.3770176544525127E-2</v>
      </c>
      <c r="P106" s="44"/>
      <c r="Q106" s="49"/>
      <c r="R106" s="124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4"/>
      <c r="AI106" s="44"/>
      <c r="AJ106" s="44"/>
    </row>
    <row r="107" spans="1:36" ht="41.4" x14ac:dyDescent="0.25">
      <c r="A107" s="94"/>
      <c r="B107" s="265" t="s">
        <v>536</v>
      </c>
      <c r="C107" s="266" t="s">
        <v>147</v>
      </c>
      <c r="D107" s="265" t="s">
        <v>40</v>
      </c>
      <c r="E107" s="265" t="s">
        <v>148</v>
      </c>
      <c r="F107" s="267" t="s">
        <v>41</v>
      </c>
      <c r="G107" s="279">
        <v>359.41</v>
      </c>
      <c r="H107" s="268">
        <v>45.78</v>
      </c>
      <c r="I107" s="268">
        <f>6.94*1.2488</f>
        <v>8.6666720000000002</v>
      </c>
      <c r="J107" s="268">
        <f>41.7*1.2488</f>
        <v>52.074959999999997</v>
      </c>
      <c r="K107" s="268">
        <f>I107+J107</f>
        <v>60.741631999999996</v>
      </c>
      <c r="L107" s="268">
        <f>G107*I107</f>
        <v>3114.8885835200003</v>
      </c>
      <c r="M107" s="268">
        <f>G107*J107</f>
        <v>18716.261373600002</v>
      </c>
      <c r="N107" s="268">
        <v>21830.560000000001</v>
      </c>
      <c r="O107" s="269">
        <f t="shared" si="14"/>
        <v>9.5224187119927993E-3</v>
      </c>
      <c r="P107" s="44"/>
      <c r="Q107" s="49"/>
      <c r="R107" s="124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4"/>
      <c r="AI107" s="44"/>
      <c r="AJ107" s="44"/>
    </row>
    <row r="108" spans="1:36" x14ac:dyDescent="0.25">
      <c r="A108" s="94"/>
      <c r="B108" s="265" t="s">
        <v>538</v>
      </c>
      <c r="C108" s="266" t="s">
        <v>1451</v>
      </c>
      <c r="D108" s="265" t="s">
        <v>200</v>
      </c>
      <c r="E108" s="265" t="s">
        <v>1452</v>
      </c>
      <c r="F108" s="267" t="s">
        <v>41</v>
      </c>
      <c r="G108" s="279">
        <v>31.6</v>
      </c>
      <c r="H108" s="268">
        <v>246.77</v>
      </c>
      <c r="I108" s="268">
        <f>87.24*1.2488</f>
        <v>108.94531199999999</v>
      </c>
      <c r="J108" s="268">
        <f>159.53*1.2488</f>
        <v>199.22106399999998</v>
      </c>
      <c r="K108" s="268">
        <f>I108+J108</f>
        <v>308.16637599999996</v>
      </c>
      <c r="L108" s="268">
        <f>G108*I108</f>
        <v>3442.6718591999997</v>
      </c>
      <c r="M108" s="268">
        <f>G108*J108</f>
        <v>6295.3856224000001</v>
      </c>
      <c r="N108" s="268">
        <v>9738.17</v>
      </c>
      <c r="O108" s="269">
        <f t="shared" si="14"/>
        <v>4.2477578325323265E-3</v>
      </c>
      <c r="P108" s="44"/>
      <c r="Q108" s="49"/>
      <c r="R108" s="124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4"/>
      <c r="AI108" s="44"/>
      <c r="AJ108" s="44"/>
    </row>
    <row r="109" spans="1:36" x14ac:dyDescent="0.25">
      <c r="A109" s="94"/>
      <c r="B109" s="261" t="s">
        <v>142</v>
      </c>
      <c r="C109" s="261"/>
      <c r="D109" s="261"/>
      <c r="E109" s="261" t="s">
        <v>551</v>
      </c>
      <c r="F109" s="261"/>
      <c r="G109" s="278"/>
      <c r="H109" s="262"/>
      <c r="I109" s="261"/>
      <c r="J109" s="261"/>
      <c r="K109" s="261"/>
      <c r="L109" s="261"/>
      <c r="M109" s="261"/>
      <c r="N109" s="263">
        <f>SUM(N110:N112)</f>
        <v>22310.6</v>
      </c>
      <c r="O109" s="264">
        <f>N109/$N$472</f>
        <v>9.7318105864341777E-3</v>
      </c>
      <c r="P109" s="44"/>
      <c r="Q109" s="49"/>
      <c r="R109" s="124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4"/>
      <c r="AI109" s="44"/>
      <c r="AJ109" s="44"/>
    </row>
    <row r="110" spans="1:36" ht="27.6" x14ac:dyDescent="0.25">
      <c r="A110" s="94"/>
      <c r="B110" s="265" t="s">
        <v>540</v>
      </c>
      <c r="C110" s="266" t="s">
        <v>155</v>
      </c>
      <c r="D110" s="265" t="s">
        <v>40</v>
      </c>
      <c r="E110" s="265" t="s">
        <v>156</v>
      </c>
      <c r="F110" s="267" t="s">
        <v>54</v>
      </c>
      <c r="G110" s="279">
        <v>76</v>
      </c>
      <c r="H110" s="268">
        <v>172.71</v>
      </c>
      <c r="I110" s="268">
        <f>27.39*1.2488</f>
        <v>34.204631999999997</v>
      </c>
      <c r="J110" s="268">
        <f>145.32*1.2488</f>
        <v>181.47561599999997</v>
      </c>
      <c r="K110" s="268">
        <f>I110+J110</f>
        <v>215.68024799999998</v>
      </c>
      <c r="L110" s="268">
        <f>G110*I110</f>
        <v>2599.5520319999996</v>
      </c>
      <c r="M110" s="268">
        <f>G110*J110</f>
        <v>13792.146815999999</v>
      </c>
      <c r="N110" s="268">
        <v>16391.68</v>
      </c>
      <c r="O110" s="269">
        <f t="shared" si="14"/>
        <v>7.1499970844998073E-3</v>
      </c>
      <c r="P110" s="44"/>
      <c r="Q110" s="49"/>
      <c r="R110" s="124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4"/>
      <c r="AI110" s="44"/>
      <c r="AJ110" s="44"/>
    </row>
    <row r="111" spans="1:36" ht="27.6" x14ac:dyDescent="0.25">
      <c r="A111" s="94"/>
      <c r="B111" s="265" t="s">
        <v>823</v>
      </c>
      <c r="C111" s="266" t="s">
        <v>153</v>
      </c>
      <c r="D111" s="265" t="s">
        <v>40</v>
      </c>
      <c r="E111" s="265" t="s">
        <v>154</v>
      </c>
      <c r="F111" s="267" t="s">
        <v>54</v>
      </c>
      <c r="G111" s="279">
        <v>49.85</v>
      </c>
      <c r="H111" s="268">
        <v>52.86</v>
      </c>
      <c r="I111" s="268">
        <f>7.79*1.2488</f>
        <v>9.7281519999999997</v>
      </c>
      <c r="J111" s="268">
        <f>45.07*1.2488</f>
        <v>56.283415999999995</v>
      </c>
      <c r="K111" s="268">
        <f>I111+J111</f>
        <v>66.011567999999997</v>
      </c>
      <c r="L111" s="268">
        <f>G111*I111</f>
        <v>484.94837719999998</v>
      </c>
      <c r="M111" s="268">
        <f>G111*J111</f>
        <v>2805.7282875999999</v>
      </c>
      <c r="N111" s="268">
        <v>3290.6</v>
      </c>
      <c r="O111" s="269">
        <f t="shared" si="14"/>
        <v>1.4353489334988888E-3</v>
      </c>
      <c r="P111" s="44"/>
      <c r="Q111" s="49"/>
      <c r="R111" s="124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4"/>
      <c r="AI111" s="44"/>
      <c r="AJ111" s="44"/>
    </row>
    <row r="112" spans="1:36" ht="27.6" x14ac:dyDescent="0.25">
      <c r="A112" s="94"/>
      <c r="B112" s="265" t="s">
        <v>824</v>
      </c>
      <c r="C112" s="266" t="s">
        <v>1141</v>
      </c>
      <c r="D112" s="265" t="s">
        <v>40</v>
      </c>
      <c r="E112" s="265" t="s">
        <v>1142</v>
      </c>
      <c r="F112" s="267" t="s">
        <v>54</v>
      </c>
      <c r="G112" s="279">
        <v>24.55</v>
      </c>
      <c r="H112" s="268">
        <v>85.73</v>
      </c>
      <c r="I112" s="268">
        <f>3.15*1.2488</f>
        <v>3.9337199999999997</v>
      </c>
      <c r="J112" s="268">
        <f>82.58*1.2488</f>
        <v>103.12590399999999</v>
      </c>
      <c r="K112" s="268">
        <f>I112+J112</f>
        <v>107.05962399999999</v>
      </c>
      <c r="L112" s="268">
        <f>G112*I112</f>
        <v>96.572825999999992</v>
      </c>
      <c r="M112" s="268">
        <f>G112*J112</f>
        <v>2531.7409431999999</v>
      </c>
      <c r="N112" s="268">
        <v>2628.32</v>
      </c>
      <c r="O112" s="269">
        <f t="shared" si="14"/>
        <v>1.1464645684354827E-3</v>
      </c>
      <c r="P112" s="44"/>
      <c r="Q112" s="49"/>
      <c r="R112" s="124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4"/>
      <c r="AI112" s="44"/>
      <c r="AJ112" s="44"/>
    </row>
    <row r="113" spans="1:36" x14ac:dyDescent="0.25">
      <c r="A113" s="94"/>
      <c r="B113" s="261">
        <v>6</v>
      </c>
      <c r="C113" s="261"/>
      <c r="D113" s="261"/>
      <c r="E113" s="261" t="s">
        <v>552</v>
      </c>
      <c r="F113" s="261"/>
      <c r="G113" s="278"/>
      <c r="H113" s="262"/>
      <c r="I113" s="261"/>
      <c r="J113" s="261"/>
      <c r="K113" s="261"/>
      <c r="L113" s="261"/>
      <c r="M113" s="261"/>
      <c r="N113" s="263">
        <f>SUM(N114:N115)</f>
        <v>16136.07</v>
      </c>
      <c r="O113" s="264">
        <f>N113/$N$472</f>
        <v>7.0385008403827309E-3</v>
      </c>
      <c r="P113" s="44"/>
      <c r="Q113" s="49"/>
      <c r="R113" s="124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4"/>
      <c r="AI113" s="44"/>
      <c r="AJ113" s="44"/>
    </row>
    <row r="114" spans="1:36" ht="27.6" x14ac:dyDescent="0.25">
      <c r="A114" s="94"/>
      <c r="B114" s="265" t="s">
        <v>146</v>
      </c>
      <c r="C114" s="266" t="s">
        <v>553</v>
      </c>
      <c r="D114" s="265" t="s">
        <v>40</v>
      </c>
      <c r="E114" s="265" t="s">
        <v>554</v>
      </c>
      <c r="F114" s="267" t="s">
        <v>41</v>
      </c>
      <c r="G114" s="279">
        <v>155.66999999999999</v>
      </c>
      <c r="H114" s="268">
        <v>66.14</v>
      </c>
      <c r="I114" s="268">
        <f>29.89*1.2488</f>
        <v>37.326631999999996</v>
      </c>
      <c r="J114" s="268">
        <f>36.25*1.2488</f>
        <v>45.268999999999998</v>
      </c>
      <c r="K114" s="268">
        <f>I114+J114</f>
        <v>82.595631999999995</v>
      </c>
      <c r="L114" s="268">
        <f>G114*I114</f>
        <v>5810.6368034399993</v>
      </c>
      <c r="M114" s="268">
        <f>G114*J114</f>
        <v>7047.0252299999993</v>
      </c>
      <c r="N114" s="268">
        <v>12858.34</v>
      </c>
      <c r="O114" s="269">
        <f t="shared" si="14"/>
        <v>5.6087657586963175E-3</v>
      </c>
      <c r="P114" s="44"/>
      <c r="Q114" s="49"/>
      <c r="R114" s="124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4"/>
      <c r="AI114" s="44"/>
      <c r="AJ114" s="44"/>
    </row>
    <row r="115" spans="1:36" ht="27.6" x14ac:dyDescent="0.25">
      <c r="A115" s="94"/>
      <c r="B115" s="265" t="s">
        <v>1258</v>
      </c>
      <c r="C115" s="266" t="s">
        <v>1259</v>
      </c>
      <c r="D115" s="265" t="s">
        <v>40</v>
      </c>
      <c r="E115" s="265" t="s">
        <v>1260</v>
      </c>
      <c r="F115" s="267" t="s">
        <v>41</v>
      </c>
      <c r="G115" s="279">
        <v>73.180000000000007</v>
      </c>
      <c r="H115" s="268">
        <v>35.869999999999997</v>
      </c>
      <c r="I115" s="268">
        <f>18.28*1.2488</f>
        <v>22.828064000000001</v>
      </c>
      <c r="J115" s="268">
        <f>17.59*1.2488</f>
        <v>21.966391999999999</v>
      </c>
      <c r="K115" s="268">
        <f>I115+J115</f>
        <v>44.794455999999997</v>
      </c>
      <c r="L115" s="268">
        <f>G115*I115</f>
        <v>1670.5577235200003</v>
      </c>
      <c r="M115" s="268">
        <f>G115*J115</f>
        <v>1607.5005665600002</v>
      </c>
      <c r="N115" s="268">
        <v>3277.73</v>
      </c>
      <c r="O115" s="269">
        <f t="shared" si="14"/>
        <v>1.4297350816864136E-3</v>
      </c>
      <c r="P115" s="44"/>
      <c r="Q115" s="49"/>
      <c r="R115" s="124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4"/>
      <c r="AI115" s="44"/>
      <c r="AJ115" s="44"/>
    </row>
    <row r="116" spans="1:36" x14ac:dyDescent="0.25">
      <c r="A116" s="94"/>
      <c r="B116" s="261">
        <v>7</v>
      </c>
      <c r="C116" s="261"/>
      <c r="D116" s="261"/>
      <c r="E116" s="261" t="s">
        <v>244</v>
      </c>
      <c r="F116" s="261"/>
      <c r="G116" s="278"/>
      <c r="H116" s="262"/>
      <c r="I116" s="261"/>
      <c r="J116" s="261"/>
      <c r="K116" s="261"/>
      <c r="L116" s="261"/>
      <c r="M116" s="261"/>
      <c r="N116" s="263">
        <f>N117+N125+N136</f>
        <v>164171.54376000003</v>
      </c>
      <c r="O116" s="264">
        <f>N116/$N$472</f>
        <v>7.161108923806668E-2</v>
      </c>
      <c r="P116" s="44"/>
      <c r="Q116" s="49"/>
      <c r="R116" s="124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4"/>
      <c r="AI116" s="44"/>
      <c r="AJ116" s="44"/>
    </row>
    <row r="117" spans="1:36" x14ac:dyDescent="0.25">
      <c r="A117" s="94"/>
      <c r="B117" s="261" t="s">
        <v>157</v>
      </c>
      <c r="C117" s="261"/>
      <c r="D117" s="261"/>
      <c r="E117" s="261" t="s">
        <v>386</v>
      </c>
      <c r="F117" s="261"/>
      <c r="G117" s="278"/>
      <c r="H117" s="262"/>
      <c r="I117" s="261"/>
      <c r="J117" s="261"/>
      <c r="K117" s="261"/>
      <c r="L117" s="261"/>
      <c r="M117" s="261"/>
      <c r="N117" s="263">
        <f>N118</f>
        <v>52143.563367999996</v>
      </c>
      <c r="O117" s="264">
        <f>N117/$N$472</f>
        <v>2.274485141587872E-2</v>
      </c>
      <c r="P117" s="44"/>
      <c r="Q117" s="49"/>
      <c r="R117" s="124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4"/>
      <c r="AI117" s="44"/>
      <c r="AJ117" s="44"/>
    </row>
    <row r="118" spans="1:36" x14ac:dyDescent="0.25">
      <c r="A118" s="94"/>
      <c r="B118" s="261" t="s">
        <v>825</v>
      </c>
      <c r="C118" s="261"/>
      <c r="D118" s="261"/>
      <c r="E118" s="261" t="s">
        <v>534</v>
      </c>
      <c r="F118" s="261"/>
      <c r="G118" s="278"/>
      <c r="H118" s="262"/>
      <c r="I118" s="261"/>
      <c r="J118" s="261"/>
      <c r="K118" s="261"/>
      <c r="L118" s="261"/>
      <c r="M118" s="261"/>
      <c r="N118" s="263">
        <f>SUM(N119:N124)</f>
        <v>52143.563367999996</v>
      </c>
      <c r="O118" s="264">
        <f>N118/$N$472</f>
        <v>2.274485141587872E-2</v>
      </c>
      <c r="P118" s="44"/>
      <c r="Q118" s="49"/>
      <c r="R118" s="124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4"/>
      <c r="AI118" s="44"/>
      <c r="AJ118" s="44"/>
    </row>
    <row r="119" spans="1:36" ht="41.4" x14ac:dyDescent="0.25">
      <c r="A119" s="94"/>
      <c r="B119" s="265" t="s">
        <v>826</v>
      </c>
      <c r="C119" s="266" t="s">
        <v>1126</v>
      </c>
      <c r="D119" s="265" t="s">
        <v>40</v>
      </c>
      <c r="E119" s="265" t="s">
        <v>1127</v>
      </c>
      <c r="F119" s="267" t="s">
        <v>43</v>
      </c>
      <c r="G119" s="279">
        <v>12</v>
      </c>
      <c r="H119" s="268">
        <v>1354.51</v>
      </c>
      <c r="I119" s="268">
        <f>289.11*1.2488</f>
        <v>361.04056800000001</v>
      </c>
      <c r="J119" s="268">
        <f>1065.4*1.2488</f>
        <v>1330.4715200000001</v>
      </c>
      <c r="K119" s="268">
        <f t="shared" ref="K119:K124" si="33">I119+J119</f>
        <v>1691.5120879999999</v>
      </c>
      <c r="L119" s="268">
        <f t="shared" ref="L119:L124" si="34">G119*I119</f>
        <v>4332.4868160000005</v>
      </c>
      <c r="M119" s="268">
        <f t="shared" ref="M119:M124" si="35">G119*J119</f>
        <v>15965.658240000001</v>
      </c>
      <c r="N119" s="268">
        <v>20298.12</v>
      </c>
      <c r="O119" s="269">
        <f t="shared" si="14"/>
        <v>8.8539734072912123E-3</v>
      </c>
      <c r="P119" s="44"/>
      <c r="Q119" s="49"/>
      <c r="R119" s="124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4"/>
      <c r="AI119" s="44"/>
      <c r="AJ119" s="44"/>
    </row>
    <row r="120" spans="1:36" ht="41.4" x14ac:dyDescent="0.25">
      <c r="A120" s="94"/>
      <c r="B120" s="265" t="s">
        <v>827</v>
      </c>
      <c r="C120" s="266" t="s">
        <v>1128</v>
      </c>
      <c r="D120" s="265" t="s">
        <v>40</v>
      </c>
      <c r="E120" s="265" t="s">
        <v>1129</v>
      </c>
      <c r="F120" s="267" t="s">
        <v>43</v>
      </c>
      <c r="G120" s="279">
        <v>10</v>
      </c>
      <c r="H120" s="268">
        <v>1263.69</v>
      </c>
      <c r="I120" s="268">
        <f>283.94*1.2488</f>
        <v>354.584272</v>
      </c>
      <c r="J120" s="268">
        <f>979.75*1.2488</f>
        <v>1223.5118</v>
      </c>
      <c r="K120" s="268">
        <f t="shared" si="33"/>
        <v>1578.096072</v>
      </c>
      <c r="L120" s="268">
        <f t="shared" si="34"/>
        <v>3545.8427200000001</v>
      </c>
      <c r="M120" s="268">
        <f t="shared" si="35"/>
        <v>12235.118</v>
      </c>
      <c r="N120" s="268">
        <v>15781</v>
      </c>
      <c r="O120" s="269">
        <f t="shared" ref="O120:O182" si="36">N120/$N$472</f>
        <v>6.8836204702929452E-3</v>
      </c>
      <c r="P120" s="44"/>
      <c r="Q120" s="49"/>
      <c r="R120" s="124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4"/>
      <c r="AI120" s="44"/>
      <c r="AJ120" s="44"/>
    </row>
    <row r="121" spans="1:36" x14ac:dyDescent="0.25">
      <c r="A121" s="94"/>
      <c r="B121" s="265" t="s">
        <v>828</v>
      </c>
      <c r="C121" s="266" t="s">
        <v>1527</v>
      </c>
      <c r="D121" s="265" t="s">
        <v>200</v>
      </c>
      <c r="E121" s="265" t="s">
        <v>1528</v>
      </c>
      <c r="F121" s="267" t="s">
        <v>43</v>
      </c>
      <c r="G121" s="279">
        <v>1</v>
      </c>
      <c r="H121" s="268">
        <v>985.85</v>
      </c>
      <c r="I121" s="268">
        <f>166.33*1.2488</f>
        <v>207.71290400000001</v>
      </c>
      <c r="J121" s="268">
        <f>819.52*1.2488</f>
        <v>1023.4165759999998</v>
      </c>
      <c r="K121" s="268">
        <f t="shared" si="33"/>
        <v>1231.1294799999998</v>
      </c>
      <c r="L121" s="268">
        <f t="shared" si="34"/>
        <v>207.71290400000001</v>
      </c>
      <c r="M121" s="268">
        <f t="shared" si="35"/>
        <v>1023.4165759999998</v>
      </c>
      <c r="N121" s="268">
        <f>L121+M121</f>
        <v>1231.1294799999998</v>
      </c>
      <c r="O121" s="269">
        <f t="shared" si="36"/>
        <v>5.3701464356562369E-4</v>
      </c>
      <c r="P121" s="44"/>
      <c r="Q121" s="49"/>
      <c r="R121" s="124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4"/>
      <c r="AI121" s="44"/>
      <c r="AJ121" s="44"/>
    </row>
    <row r="122" spans="1:36" x14ac:dyDescent="0.25">
      <c r="A122" s="94"/>
      <c r="B122" s="265" t="s">
        <v>829</v>
      </c>
      <c r="C122" s="266" t="s">
        <v>1261</v>
      </c>
      <c r="D122" s="265" t="s">
        <v>200</v>
      </c>
      <c r="E122" s="265" t="s">
        <v>1262</v>
      </c>
      <c r="F122" s="267" t="s">
        <v>41</v>
      </c>
      <c r="G122" s="279">
        <v>14.39</v>
      </c>
      <c r="H122" s="268">
        <v>611.11</v>
      </c>
      <c r="I122" s="268">
        <f>39.14*1.2488</f>
        <v>48.878031999999997</v>
      </c>
      <c r="J122" s="268">
        <f>571.97*1.2488</f>
        <v>714.27613599999995</v>
      </c>
      <c r="K122" s="268">
        <f t="shared" si="33"/>
        <v>763.15416799999991</v>
      </c>
      <c r="L122" s="268">
        <f t="shared" si="34"/>
        <v>703.35488048000002</v>
      </c>
      <c r="M122" s="268">
        <f t="shared" si="35"/>
        <v>10278.433597039999</v>
      </c>
      <c r="N122" s="268">
        <v>10981.73</v>
      </c>
      <c r="O122" s="269">
        <f t="shared" si="36"/>
        <v>4.7901946281750296E-3</v>
      </c>
      <c r="P122" s="44"/>
      <c r="Q122" s="49"/>
      <c r="R122" s="124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4"/>
      <c r="AI122" s="44"/>
      <c r="AJ122" s="44"/>
    </row>
    <row r="123" spans="1:36" x14ac:dyDescent="0.25">
      <c r="A123" s="94"/>
      <c r="B123" s="265" t="s">
        <v>1417</v>
      </c>
      <c r="C123" s="266" t="s">
        <v>1563</v>
      </c>
      <c r="D123" s="265" t="s">
        <v>200</v>
      </c>
      <c r="E123" s="265" t="s">
        <v>1562</v>
      </c>
      <c r="F123" s="267" t="s">
        <v>43</v>
      </c>
      <c r="G123" s="279">
        <v>1</v>
      </c>
      <c r="H123" s="268">
        <v>934.26</v>
      </c>
      <c r="I123" s="268">
        <f>166.33*1.2488</f>
        <v>207.71290400000001</v>
      </c>
      <c r="J123" s="268">
        <f>767.93*1.2488</f>
        <v>958.99098399999991</v>
      </c>
      <c r="K123" s="268">
        <f t="shared" si="33"/>
        <v>1166.703888</v>
      </c>
      <c r="L123" s="268">
        <f t="shared" si="34"/>
        <v>207.71290400000001</v>
      </c>
      <c r="M123" s="268">
        <f t="shared" si="35"/>
        <v>958.99098399999991</v>
      </c>
      <c r="N123" s="268">
        <f t="shared" ref="N123" si="37">L123+M123</f>
        <v>1166.703888</v>
      </c>
      <c r="O123" s="269">
        <f t="shared" si="36"/>
        <v>5.0891241152063672E-4</v>
      </c>
      <c r="P123" s="44"/>
      <c r="Q123" s="49"/>
      <c r="R123" s="124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4"/>
      <c r="AI123" s="44"/>
      <c r="AJ123" s="44"/>
    </row>
    <row r="124" spans="1:36" x14ac:dyDescent="0.25">
      <c r="A124" s="94"/>
      <c r="B124" s="265" t="s">
        <v>1420</v>
      </c>
      <c r="C124" s="266" t="s">
        <v>1529</v>
      </c>
      <c r="D124" s="265" t="s">
        <v>200</v>
      </c>
      <c r="E124" s="265" t="s">
        <v>1530</v>
      </c>
      <c r="F124" s="267" t="s">
        <v>43</v>
      </c>
      <c r="G124" s="279">
        <v>2</v>
      </c>
      <c r="H124" s="268">
        <v>1074.98</v>
      </c>
      <c r="I124" s="268">
        <f>192.46*1.2488</f>
        <v>240.34404799999999</v>
      </c>
      <c r="J124" s="268">
        <f>882.52*1.2488</f>
        <v>1102.090976</v>
      </c>
      <c r="K124" s="268">
        <f t="shared" si="33"/>
        <v>1342.4350239999999</v>
      </c>
      <c r="L124" s="268">
        <f t="shared" si="34"/>
        <v>480.68809599999997</v>
      </c>
      <c r="M124" s="268">
        <f t="shared" si="35"/>
        <v>2204.1819519999999</v>
      </c>
      <c r="N124" s="268">
        <v>2684.88</v>
      </c>
      <c r="O124" s="269">
        <f t="shared" si="36"/>
        <v>1.1711358550332755E-3</v>
      </c>
      <c r="P124" s="44"/>
      <c r="Q124" s="49"/>
      <c r="R124" s="124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4"/>
      <c r="AI124" s="44"/>
      <c r="AJ124" s="44"/>
    </row>
    <row r="125" spans="1:36" x14ac:dyDescent="0.25">
      <c r="A125" s="94"/>
      <c r="B125" s="261" t="s">
        <v>176</v>
      </c>
      <c r="C125" s="261"/>
      <c r="D125" s="261"/>
      <c r="E125" s="261" t="s">
        <v>535</v>
      </c>
      <c r="F125" s="261"/>
      <c r="G125" s="278"/>
      <c r="H125" s="262"/>
      <c r="I125" s="261"/>
      <c r="J125" s="261"/>
      <c r="K125" s="261"/>
      <c r="L125" s="261"/>
      <c r="M125" s="261"/>
      <c r="N125" s="263">
        <f>N126+N132</f>
        <v>84128.860000000015</v>
      </c>
      <c r="O125" s="264">
        <f>N125/$N$472</f>
        <v>3.6696732959787683E-2</v>
      </c>
      <c r="P125" s="44"/>
      <c r="Q125" s="49"/>
      <c r="R125" s="124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4"/>
      <c r="AI125" s="44"/>
      <c r="AJ125" s="44"/>
    </row>
    <row r="126" spans="1:36" x14ac:dyDescent="0.25">
      <c r="A126" s="94"/>
      <c r="B126" s="261" t="s">
        <v>830</v>
      </c>
      <c r="C126" s="261"/>
      <c r="D126" s="261"/>
      <c r="E126" s="261" t="s">
        <v>537</v>
      </c>
      <c r="F126" s="261"/>
      <c r="G126" s="278"/>
      <c r="H126" s="262"/>
      <c r="I126" s="261"/>
      <c r="J126" s="261"/>
      <c r="K126" s="261"/>
      <c r="L126" s="261"/>
      <c r="M126" s="261"/>
      <c r="N126" s="263">
        <f>SUM(N127:N131)</f>
        <v>40350.590000000004</v>
      </c>
      <c r="O126" s="264">
        <f>N126/$N$472</f>
        <v>1.7600795089816729E-2</v>
      </c>
      <c r="P126" s="44"/>
      <c r="Q126" s="49"/>
      <c r="R126" s="124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4"/>
      <c r="AI126" s="44"/>
      <c r="AJ126" s="44"/>
    </row>
    <row r="127" spans="1:36" ht="27.6" x14ac:dyDescent="0.25">
      <c r="A127" s="94"/>
      <c r="B127" s="265" t="s">
        <v>831</v>
      </c>
      <c r="C127" s="266" t="s">
        <v>246</v>
      </c>
      <c r="D127" s="265" t="s">
        <v>40</v>
      </c>
      <c r="E127" s="265" t="s">
        <v>247</v>
      </c>
      <c r="F127" s="267" t="s">
        <v>41</v>
      </c>
      <c r="G127" s="279">
        <v>9.8699999999999992</v>
      </c>
      <c r="H127" s="268">
        <v>854.57</v>
      </c>
      <c r="I127" s="268">
        <f>12.7*1.2488</f>
        <v>15.859759999999998</v>
      </c>
      <c r="J127" s="268">
        <f>841.87*1.2488</f>
        <v>1051.327256</v>
      </c>
      <c r="K127" s="268">
        <f>I127+J127</f>
        <v>1067.1870160000001</v>
      </c>
      <c r="L127" s="268">
        <f>G127*I127</f>
        <v>156.53583119999996</v>
      </c>
      <c r="M127" s="268">
        <f>G127*J127</f>
        <v>10376.60001672</v>
      </c>
      <c r="N127" s="268">
        <v>10533.17</v>
      </c>
      <c r="O127" s="269">
        <f t="shared" si="36"/>
        <v>4.5945342265430291E-3</v>
      </c>
      <c r="P127" s="44"/>
      <c r="Q127" s="49"/>
      <c r="R127" s="124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4"/>
      <c r="AI127" s="44"/>
      <c r="AJ127" s="44"/>
    </row>
    <row r="128" spans="1:36" x14ac:dyDescent="0.25">
      <c r="A128" s="94"/>
      <c r="B128" s="265" t="s">
        <v>832</v>
      </c>
      <c r="C128" s="266" t="s">
        <v>996</v>
      </c>
      <c r="D128" s="265" t="s">
        <v>200</v>
      </c>
      <c r="E128" s="265" t="s">
        <v>997</v>
      </c>
      <c r="F128" s="267" t="s">
        <v>41</v>
      </c>
      <c r="G128" s="279">
        <v>6.93</v>
      </c>
      <c r="H128" s="268">
        <v>1116.56</v>
      </c>
      <c r="I128" s="268">
        <f>142.56*1.2488</f>
        <v>178.02892799999998</v>
      </c>
      <c r="J128" s="268">
        <f>974*1.2488</f>
        <v>1216.3311999999999</v>
      </c>
      <c r="K128" s="268">
        <f>I128+J128</f>
        <v>1394.3601279999998</v>
      </c>
      <c r="L128" s="268">
        <f>G128*I128</f>
        <v>1233.7404710399999</v>
      </c>
      <c r="M128" s="268">
        <f>G128*J128</f>
        <v>8429.1752159999978</v>
      </c>
      <c r="N128" s="268">
        <v>9662.91</v>
      </c>
      <c r="O128" s="269">
        <f t="shared" si="36"/>
        <v>4.2149296672326468E-3</v>
      </c>
      <c r="P128" s="44"/>
      <c r="Q128" s="49"/>
      <c r="R128" s="124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4"/>
      <c r="AI128" s="44"/>
      <c r="AJ128" s="44"/>
    </row>
    <row r="129" spans="1:36" x14ac:dyDescent="0.25">
      <c r="A129" s="94"/>
      <c r="B129" s="265" t="s">
        <v>834</v>
      </c>
      <c r="C129" s="266" t="s">
        <v>1531</v>
      </c>
      <c r="D129" s="265" t="s">
        <v>200</v>
      </c>
      <c r="E129" s="265" t="s">
        <v>1532</v>
      </c>
      <c r="F129" s="267" t="s">
        <v>41</v>
      </c>
      <c r="G129" s="279">
        <v>20.28</v>
      </c>
      <c r="H129" s="268">
        <v>502.37</v>
      </c>
      <c r="I129" s="268">
        <f>142.56*1.2488</f>
        <v>178.02892799999998</v>
      </c>
      <c r="J129" s="268">
        <f>359.81*1.2488</f>
        <v>449.33072799999997</v>
      </c>
      <c r="K129" s="268">
        <f>I129+J129</f>
        <v>627.35965599999997</v>
      </c>
      <c r="L129" s="268">
        <f>G129*I129</f>
        <v>3610.42665984</v>
      </c>
      <c r="M129" s="268">
        <f>G129*J129</f>
        <v>9112.4271638400005</v>
      </c>
      <c r="N129" s="268">
        <v>12722.86</v>
      </c>
      <c r="O129" s="269">
        <f t="shared" si="36"/>
        <v>5.5496698267962297E-3</v>
      </c>
      <c r="P129" s="44"/>
      <c r="Q129" s="49"/>
      <c r="R129" s="124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4"/>
      <c r="AI129" s="44"/>
      <c r="AJ129" s="44"/>
    </row>
    <row r="130" spans="1:36" x14ac:dyDescent="0.25">
      <c r="A130" s="94"/>
      <c r="B130" s="265" t="s">
        <v>835</v>
      </c>
      <c r="C130" s="266" t="s">
        <v>1533</v>
      </c>
      <c r="D130" s="265" t="s">
        <v>200</v>
      </c>
      <c r="E130" s="265" t="s">
        <v>1534</v>
      </c>
      <c r="F130" s="267" t="s">
        <v>41</v>
      </c>
      <c r="G130" s="279">
        <v>4.7</v>
      </c>
      <c r="H130" s="268">
        <v>704.86</v>
      </c>
      <c r="I130" s="268">
        <f>142.56*1.2488</f>
        <v>178.02892799999998</v>
      </c>
      <c r="J130" s="268">
        <f>562.3*1.2488</f>
        <v>702.20023999999989</v>
      </c>
      <c r="K130" s="268">
        <f>I130+J130</f>
        <v>880.22916799999985</v>
      </c>
      <c r="L130" s="268">
        <f>G130*I130</f>
        <v>836.73596159999988</v>
      </c>
      <c r="M130" s="268">
        <f>G130*J130</f>
        <v>3300.3411279999996</v>
      </c>
      <c r="N130" s="268">
        <v>4137.08</v>
      </c>
      <c r="O130" s="269">
        <f t="shared" si="36"/>
        <v>1.8045807347594916E-3</v>
      </c>
      <c r="P130" s="44"/>
      <c r="Q130" s="49"/>
      <c r="R130" s="124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4"/>
      <c r="AI130" s="44"/>
      <c r="AJ130" s="44"/>
    </row>
    <row r="131" spans="1:36" x14ac:dyDescent="0.25">
      <c r="A131" s="94"/>
      <c r="B131" s="265" t="s">
        <v>1421</v>
      </c>
      <c r="C131" s="266" t="s">
        <v>1535</v>
      </c>
      <c r="D131" s="265" t="s">
        <v>200</v>
      </c>
      <c r="E131" s="265" t="s">
        <v>1536</v>
      </c>
      <c r="F131" s="267" t="s">
        <v>41</v>
      </c>
      <c r="G131" s="279">
        <v>2.52</v>
      </c>
      <c r="H131" s="268">
        <v>1046.9000000000001</v>
      </c>
      <c r="I131" s="268">
        <f>71.29*1.2488</f>
        <v>89.026951999999994</v>
      </c>
      <c r="J131" s="268">
        <f>975.61*1.2488</f>
        <v>1218.341768</v>
      </c>
      <c r="K131" s="268">
        <f>I131+J131</f>
        <v>1307.3687199999999</v>
      </c>
      <c r="L131" s="268">
        <f>G131*I131</f>
        <v>224.34791903999999</v>
      </c>
      <c r="M131" s="268">
        <f>G131*J131</f>
        <v>3070.2212553600002</v>
      </c>
      <c r="N131" s="268">
        <v>3294.57</v>
      </c>
      <c r="O131" s="269">
        <f t="shared" si="36"/>
        <v>1.4370806344853322E-3</v>
      </c>
      <c r="P131" s="44"/>
      <c r="Q131" s="49"/>
      <c r="R131" s="124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4"/>
      <c r="AI131" s="44"/>
      <c r="AJ131" s="44"/>
    </row>
    <row r="132" spans="1:36" x14ac:dyDescent="0.25">
      <c r="A132" s="94"/>
      <c r="B132" s="261" t="s">
        <v>836</v>
      </c>
      <c r="C132" s="261"/>
      <c r="D132" s="261"/>
      <c r="E132" s="261" t="s">
        <v>539</v>
      </c>
      <c r="F132" s="261"/>
      <c r="G132" s="278"/>
      <c r="H132" s="262"/>
      <c r="I132" s="261"/>
      <c r="J132" s="261"/>
      <c r="K132" s="261"/>
      <c r="L132" s="261"/>
      <c r="M132" s="261"/>
      <c r="N132" s="263">
        <f>SUM(N133:N135)</f>
        <v>43778.270000000004</v>
      </c>
      <c r="O132" s="264">
        <f>N132/$N$472</f>
        <v>1.909593786997095E-2</v>
      </c>
      <c r="P132" s="44"/>
      <c r="Q132" s="49"/>
      <c r="R132" s="124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4"/>
      <c r="AI132" s="44"/>
      <c r="AJ132" s="44"/>
    </row>
    <row r="133" spans="1:36" ht="27.6" x14ac:dyDescent="0.25">
      <c r="A133" s="94"/>
      <c r="B133" s="265" t="s">
        <v>837</v>
      </c>
      <c r="C133" s="266" t="s">
        <v>248</v>
      </c>
      <c r="D133" s="265" t="s">
        <v>40</v>
      </c>
      <c r="E133" s="265" t="s">
        <v>249</v>
      </c>
      <c r="F133" s="267" t="s">
        <v>41</v>
      </c>
      <c r="G133" s="279">
        <v>25.64</v>
      </c>
      <c r="H133" s="268">
        <v>723.3</v>
      </c>
      <c r="I133" s="268">
        <f>60.95*1.2488</f>
        <v>76.114360000000005</v>
      </c>
      <c r="J133" s="268">
        <f>662.35*1.2488</f>
        <v>827.14267999999993</v>
      </c>
      <c r="K133" s="268">
        <f>I133+J133</f>
        <v>903.25703999999996</v>
      </c>
      <c r="L133" s="268">
        <f>G133*I133</f>
        <v>1951.5721904000002</v>
      </c>
      <c r="M133" s="268">
        <f>G133*J133</f>
        <v>21207.938315199997</v>
      </c>
      <c r="N133" s="268">
        <v>23159.59</v>
      </c>
      <c r="O133" s="269">
        <f t="shared" si="36"/>
        <v>1.0102137241467067E-2</v>
      </c>
      <c r="P133" s="44"/>
      <c r="Q133" s="49"/>
      <c r="R133" s="124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4"/>
      <c r="AI133" s="44"/>
      <c r="AJ133" s="44"/>
    </row>
    <row r="134" spans="1:36" ht="27.6" x14ac:dyDescent="0.25">
      <c r="A134" s="94"/>
      <c r="B134" s="265" t="s">
        <v>838</v>
      </c>
      <c r="C134" s="266" t="s">
        <v>250</v>
      </c>
      <c r="D134" s="265" t="s">
        <v>40</v>
      </c>
      <c r="E134" s="265" t="s">
        <v>251</v>
      </c>
      <c r="F134" s="267" t="s">
        <v>41</v>
      </c>
      <c r="G134" s="279">
        <v>1.35</v>
      </c>
      <c r="H134" s="268">
        <v>770.36</v>
      </c>
      <c r="I134" s="268">
        <f>25.71*1.2488</f>
        <v>32.106648</v>
      </c>
      <c r="J134" s="268">
        <f>744.65*1.2488</f>
        <v>929.91891999999996</v>
      </c>
      <c r="K134" s="268">
        <f>I134+J134</f>
        <v>962.02556799999991</v>
      </c>
      <c r="L134" s="268">
        <f>G134*I134</f>
        <v>43.343974800000005</v>
      </c>
      <c r="M134" s="268">
        <f>G134*J134</f>
        <v>1255.3905420000001</v>
      </c>
      <c r="N134" s="268">
        <v>1298.74</v>
      </c>
      <c r="O134" s="269">
        <f t="shared" si="36"/>
        <v>5.6650613076409978E-4</v>
      </c>
      <c r="P134" s="44"/>
      <c r="Q134" s="49"/>
      <c r="R134" s="124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4"/>
      <c r="AI134" s="44"/>
      <c r="AJ134" s="44"/>
    </row>
    <row r="135" spans="1:36" ht="41.4" x14ac:dyDescent="0.25">
      <c r="A135" s="94"/>
      <c r="B135" s="265" t="s">
        <v>839</v>
      </c>
      <c r="C135" s="266" t="s">
        <v>1263</v>
      </c>
      <c r="D135" s="265" t="s">
        <v>40</v>
      </c>
      <c r="E135" s="265" t="s">
        <v>1264</v>
      </c>
      <c r="F135" s="267" t="s">
        <v>41</v>
      </c>
      <c r="G135" s="279">
        <v>35.67</v>
      </c>
      <c r="H135" s="268">
        <v>433.72</v>
      </c>
      <c r="I135" s="268">
        <f>34.28*1.2488</f>
        <v>42.808864</v>
      </c>
      <c r="J135" s="268">
        <f>399.44*1.2488</f>
        <v>498.82067199999995</v>
      </c>
      <c r="K135" s="268">
        <f>I135+J135</f>
        <v>541.62953599999992</v>
      </c>
      <c r="L135" s="268">
        <f>G135*I135</f>
        <v>1526.99217888</v>
      </c>
      <c r="M135" s="268">
        <f>G135*J135</f>
        <v>17792.93337024</v>
      </c>
      <c r="N135" s="268">
        <v>19319.939999999999</v>
      </c>
      <c r="O135" s="269">
        <f t="shared" si="36"/>
        <v>8.4272944977397801E-3</v>
      </c>
      <c r="P135" s="44"/>
      <c r="Q135" s="49"/>
      <c r="R135" s="124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4"/>
      <c r="AI135" s="44"/>
      <c r="AJ135" s="44"/>
    </row>
    <row r="136" spans="1:36" x14ac:dyDescent="0.25">
      <c r="A136" s="94"/>
      <c r="B136" s="261" t="s">
        <v>196</v>
      </c>
      <c r="C136" s="261"/>
      <c r="D136" s="261"/>
      <c r="E136" s="261" t="s">
        <v>541</v>
      </c>
      <c r="F136" s="261"/>
      <c r="G136" s="278"/>
      <c r="H136" s="262"/>
      <c r="I136" s="261"/>
      <c r="J136" s="261"/>
      <c r="K136" s="261"/>
      <c r="L136" s="261"/>
      <c r="M136" s="261"/>
      <c r="N136" s="263">
        <f>N137+N139</f>
        <v>27899.120391999997</v>
      </c>
      <c r="O136" s="264">
        <f>N136/$N$472</f>
        <v>1.216950486240026E-2</v>
      </c>
      <c r="P136" s="44"/>
      <c r="Q136" s="49"/>
      <c r="R136" s="124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4"/>
      <c r="AI136" s="44"/>
      <c r="AJ136" s="44"/>
    </row>
    <row r="137" spans="1:36" ht="41.4" customHeight="1" x14ac:dyDescent="0.25">
      <c r="A137" s="94"/>
      <c r="B137" s="261" t="s">
        <v>840</v>
      </c>
      <c r="C137" s="261"/>
      <c r="D137" s="261"/>
      <c r="E137" s="261" t="s">
        <v>542</v>
      </c>
      <c r="F137" s="261"/>
      <c r="G137" s="278"/>
      <c r="H137" s="262"/>
      <c r="I137" s="261"/>
      <c r="J137" s="261"/>
      <c r="K137" s="261"/>
      <c r="L137" s="261"/>
      <c r="M137" s="261"/>
      <c r="N137" s="263">
        <f>SUM(N138)</f>
        <v>3861.84</v>
      </c>
      <c r="O137" s="264">
        <f>N137/$N$472</f>
        <v>1.6845219489890443E-3</v>
      </c>
      <c r="P137" s="44"/>
      <c r="Q137" s="49"/>
      <c r="R137" s="124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4"/>
      <c r="AI137" s="44"/>
      <c r="AJ137" s="44"/>
    </row>
    <row r="138" spans="1:36" ht="27.6" x14ac:dyDescent="0.25">
      <c r="A138" s="94"/>
      <c r="B138" s="265" t="s">
        <v>841</v>
      </c>
      <c r="C138" s="266" t="s">
        <v>1537</v>
      </c>
      <c r="D138" s="265" t="s">
        <v>200</v>
      </c>
      <c r="E138" s="265" t="s">
        <v>1538</v>
      </c>
      <c r="F138" s="267" t="s">
        <v>41</v>
      </c>
      <c r="G138" s="279">
        <v>3.15</v>
      </c>
      <c r="H138" s="268">
        <v>981.73</v>
      </c>
      <c r="I138" s="268">
        <f>90.38*1.2488</f>
        <v>112.86654399999999</v>
      </c>
      <c r="J138" s="268">
        <f>891.35*1.2488</f>
        <v>1113.11788</v>
      </c>
      <c r="K138" s="268">
        <f>I138+J138</f>
        <v>1225.984424</v>
      </c>
      <c r="L138" s="268">
        <f>G138*I138</f>
        <v>355.52961359999995</v>
      </c>
      <c r="M138" s="268">
        <f>G138*J138</f>
        <v>3506.3213219999998</v>
      </c>
      <c r="N138" s="268">
        <v>3861.84</v>
      </c>
      <c r="O138" s="269">
        <f t="shared" si="36"/>
        <v>1.6845219489890443E-3</v>
      </c>
      <c r="P138" s="44"/>
      <c r="Q138" s="49"/>
      <c r="R138" s="124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4"/>
      <c r="AI138" s="44"/>
      <c r="AJ138" s="44"/>
    </row>
    <row r="139" spans="1:36" x14ac:dyDescent="0.25">
      <c r="A139" s="94"/>
      <c r="B139" s="261" t="s">
        <v>842</v>
      </c>
      <c r="C139" s="261"/>
      <c r="D139" s="261"/>
      <c r="E139" s="261" t="s">
        <v>544</v>
      </c>
      <c r="F139" s="261"/>
      <c r="G139" s="278"/>
      <c r="H139" s="262"/>
      <c r="I139" s="261"/>
      <c r="J139" s="261"/>
      <c r="K139" s="261"/>
      <c r="L139" s="261"/>
      <c r="M139" s="261"/>
      <c r="N139" s="263">
        <f>SUM(N140:N146)</f>
        <v>24037.280391999997</v>
      </c>
      <c r="O139" s="264">
        <f>N139/$N$472</f>
        <v>1.0484982913411217E-2</v>
      </c>
      <c r="P139" s="44"/>
      <c r="Q139" s="49"/>
      <c r="R139" s="124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4"/>
      <c r="AI139" s="44"/>
      <c r="AJ139" s="44"/>
    </row>
    <row r="140" spans="1:36" x14ac:dyDescent="0.25">
      <c r="A140" s="94"/>
      <c r="B140" s="265" t="s">
        <v>843</v>
      </c>
      <c r="C140" s="266" t="s">
        <v>545</v>
      </c>
      <c r="D140" s="265" t="s">
        <v>200</v>
      </c>
      <c r="E140" s="265" t="s">
        <v>780</v>
      </c>
      <c r="F140" s="267" t="s">
        <v>165</v>
      </c>
      <c r="G140" s="279">
        <v>7</v>
      </c>
      <c r="H140" s="268">
        <v>472.87</v>
      </c>
      <c r="I140" s="268">
        <f>83.2*1.2488</f>
        <v>103.90016</v>
      </c>
      <c r="J140" s="268">
        <f>389.67*1.2488</f>
        <v>486.61989599999998</v>
      </c>
      <c r="K140" s="268">
        <f t="shared" ref="K140:K146" si="38">I140+J140</f>
        <v>590.52005599999995</v>
      </c>
      <c r="L140" s="268">
        <f t="shared" ref="L140:L146" si="39">G140*I140</f>
        <v>727.30111999999997</v>
      </c>
      <c r="M140" s="268">
        <f t="shared" ref="M140:M146" si="40">G140*J140</f>
        <v>3406.3392719999997</v>
      </c>
      <c r="N140" s="268">
        <f t="shared" ref="N140" si="41">L140+M140</f>
        <v>4133.6403919999993</v>
      </c>
      <c r="O140" s="269">
        <f t="shared" si="36"/>
        <v>1.8030803890248367E-3</v>
      </c>
      <c r="P140" s="44"/>
      <c r="Q140" s="49"/>
      <c r="R140" s="124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4"/>
      <c r="AI140" s="44"/>
      <c r="AJ140" s="44"/>
    </row>
    <row r="141" spans="1:36" ht="27.6" x14ac:dyDescent="0.25">
      <c r="A141" s="94"/>
      <c r="B141" s="265" t="s">
        <v>844</v>
      </c>
      <c r="C141" s="266" t="s">
        <v>1453</v>
      </c>
      <c r="D141" s="265" t="s">
        <v>200</v>
      </c>
      <c r="E141" s="265" t="s">
        <v>1454</v>
      </c>
      <c r="F141" s="267" t="s">
        <v>165</v>
      </c>
      <c r="G141" s="279">
        <v>7</v>
      </c>
      <c r="H141" s="268">
        <v>150.63</v>
      </c>
      <c r="I141" s="268">
        <f>14.26*1.2488</f>
        <v>17.807887999999998</v>
      </c>
      <c r="J141" s="268">
        <f>136.37*1.2488</f>
        <v>170.298856</v>
      </c>
      <c r="K141" s="268">
        <f t="shared" si="38"/>
        <v>188.10674399999999</v>
      </c>
      <c r="L141" s="268">
        <f t="shared" si="39"/>
        <v>124.655216</v>
      </c>
      <c r="M141" s="268">
        <f t="shared" si="40"/>
        <v>1192.0919920000001</v>
      </c>
      <c r="N141" s="268">
        <v>1316.77</v>
      </c>
      <c r="O141" s="269">
        <f t="shared" si="36"/>
        <v>5.7437075766222933E-4</v>
      </c>
      <c r="P141" s="44"/>
      <c r="Q141" s="49"/>
      <c r="R141" s="124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4"/>
      <c r="AI141" s="44"/>
      <c r="AJ141" s="44"/>
    </row>
    <row r="142" spans="1:36" ht="27.6" x14ac:dyDescent="0.25">
      <c r="A142" s="94"/>
      <c r="B142" s="265" t="s">
        <v>845</v>
      </c>
      <c r="C142" s="266">
        <v>100659</v>
      </c>
      <c r="D142" s="265" t="s">
        <v>40</v>
      </c>
      <c r="E142" s="265" t="s">
        <v>1541</v>
      </c>
      <c r="F142" s="267" t="s">
        <v>54</v>
      </c>
      <c r="G142" s="279">
        <v>233.34</v>
      </c>
      <c r="H142" s="268">
        <v>14.11</v>
      </c>
      <c r="I142" s="268">
        <f>2.4*1.2488</f>
        <v>2.9971199999999998</v>
      </c>
      <c r="J142" s="268">
        <f>11.71*1.2488</f>
        <v>14.623448</v>
      </c>
      <c r="K142" s="268">
        <f t="shared" si="38"/>
        <v>17.620567999999999</v>
      </c>
      <c r="L142" s="268">
        <f t="shared" si="39"/>
        <v>699.34798079999996</v>
      </c>
      <c r="M142" s="268">
        <f t="shared" si="40"/>
        <v>3412.2353563199999</v>
      </c>
      <c r="N142" s="268">
        <v>4111.45</v>
      </c>
      <c r="O142" s="269">
        <f t="shared" si="36"/>
        <v>1.793401012773964E-3</v>
      </c>
      <c r="P142" s="44"/>
      <c r="Q142" s="49"/>
      <c r="R142" s="124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4"/>
      <c r="AI142" s="44"/>
      <c r="AJ142" s="44"/>
    </row>
    <row r="143" spans="1:36" x14ac:dyDescent="0.25">
      <c r="A143" s="94"/>
      <c r="B143" s="265" t="s">
        <v>846</v>
      </c>
      <c r="C143" s="266" t="s">
        <v>1539</v>
      </c>
      <c r="D143" s="265" t="s">
        <v>200</v>
      </c>
      <c r="E143" s="265" t="s">
        <v>1540</v>
      </c>
      <c r="F143" s="267" t="s">
        <v>43</v>
      </c>
      <c r="G143" s="279">
        <v>4</v>
      </c>
      <c r="H143" s="268">
        <v>338.91</v>
      </c>
      <c r="I143" s="268">
        <f>22.18*1.2488</f>
        <v>27.698383999999997</v>
      </c>
      <c r="J143" s="268">
        <f>316.73*1.2488</f>
        <v>395.53242399999999</v>
      </c>
      <c r="K143" s="268">
        <f t="shared" si="38"/>
        <v>423.23080799999997</v>
      </c>
      <c r="L143" s="268">
        <f t="shared" si="39"/>
        <v>110.79353599999999</v>
      </c>
      <c r="M143" s="268">
        <f t="shared" si="40"/>
        <v>1582.129696</v>
      </c>
      <c r="N143" s="268">
        <v>1692.92</v>
      </c>
      <c r="O143" s="269">
        <f t="shared" si="36"/>
        <v>7.384461546523245E-4</v>
      </c>
      <c r="P143" s="44"/>
      <c r="Q143" s="49"/>
      <c r="R143" s="124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4"/>
      <c r="AI143" s="44"/>
      <c r="AJ143" s="44"/>
    </row>
    <row r="144" spans="1:36" x14ac:dyDescent="0.25">
      <c r="A144" s="94"/>
      <c r="B144" s="265" t="s">
        <v>847</v>
      </c>
      <c r="C144" s="266" t="s">
        <v>851</v>
      </c>
      <c r="D144" s="265" t="s">
        <v>200</v>
      </c>
      <c r="E144" s="265" t="s">
        <v>852</v>
      </c>
      <c r="F144" s="267" t="s">
        <v>165</v>
      </c>
      <c r="G144" s="279">
        <v>23</v>
      </c>
      <c r="H144" s="268">
        <v>319.82</v>
      </c>
      <c r="I144" s="268">
        <f>71.29*1.2488</f>
        <v>89.026951999999994</v>
      </c>
      <c r="J144" s="268">
        <f>248.53*1.2488</f>
        <v>310.36426399999999</v>
      </c>
      <c r="K144" s="268">
        <f t="shared" si="38"/>
        <v>399.39121599999999</v>
      </c>
      <c r="L144" s="268">
        <f t="shared" si="39"/>
        <v>2047.6198959999999</v>
      </c>
      <c r="M144" s="268">
        <f t="shared" si="40"/>
        <v>7138.3780719999995</v>
      </c>
      <c r="N144" s="268">
        <v>9185.9699999999993</v>
      </c>
      <c r="O144" s="269">
        <f t="shared" si="36"/>
        <v>4.0068900026295467E-3</v>
      </c>
      <c r="P144" s="44"/>
      <c r="Q144" s="49"/>
      <c r="R144" s="124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4"/>
      <c r="AI144" s="44"/>
      <c r="AJ144" s="44"/>
    </row>
    <row r="145" spans="1:36" ht="27.6" x14ac:dyDescent="0.25">
      <c r="A145" s="94"/>
      <c r="B145" s="265" t="s">
        <v>848</v>
      </c>
      <c r="C145" s="266" t="s">
        <v>546</v>
      </c>
      <c r="D145" s="265" t="s">
        <v>40</v>
      </c>
      <c r="E145" s="265" t="s">
        <v>547</v>
      </c>
      <c r="F145" s="267" t="s">
        <v>43</v>
      </c>
      <c r="G145" s="279">
        <v>37</v>
      </c>
      <c r="H145" s="268">
        <v>63.15</v>
      </c>
      <c r="I145" s="268">
        <f>32.58*1.2488</f>
        <v>40.685903999999994</v>
      </c>
      <c r="J145" s="268">
        <f>30.57*1.2488</f>
        <v>38.175815999999998</v>
      </c>
      <c r="K145" s="268">
        <f t="shared" si="38"/>
        <v>78.861719999999991</v>
      </c>
      <c r="L145" s="268">
        <f t="shared" si="39"/>
        <v>1505.3784479999997</v>
      </c>
      <c r="M145" s="268">
        <f t="shared" si="40"/>
        <v>1412.5051919999999</v>
      </c>
      <c r="N145" s="268">
        <v>2917.82</v>
      </c>
      <c r="O145" s="269">
        <f t="shared" si="36"/>
        <v>1.2727435194620216E-3</v>
      </c>
      <c r="P145" s="44"/>
      <c r="Q145" s="49"/>
      <c r="R145" s="124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4"/>
      <c r="AI145" s="44"/>
      <c r="AJ145" s="44"/>
    </row>
    <row r="146" spans="1:36" x14ac:dyDescent="0.25">
      <c r="A146" s="94"/>
      <c r="B146" s="265" t="s">
        <v>849</v>
      </c>
      <c r="C146" s="266" t="s">
        <v>1542</v>
      </c>
      <c r="D146" s="265" t="s">
        <v>200</v>
      </c>
      <c r="E146" s="265" t="s">
        <v>1543</v>
      </c>
      <c r="F146" s="267" t="s">
        <v>41</v>
      </c>
      <c r="G146" s="279">
        <v>0.45</v>
      </c>
      <c r="H146" s="268">
        <v>1207.76</v>
      </c>
      <c r="I146" s="268">
        <f>90.38*1.2488</f>
        <v>112.86654399999999</v>
      </c>
      <c r="J146" s="268">
        <f>1117.38*1.2488</f>
        <v>1395.3841440000001</v>
      </c>
      <c r="K146" s="268">
        <f t="shared" si="38"/>
        <v>1508.2506880000001</v>
      </c>
      <c r="L146" s="268">
        <f t="shared" si="39"/>
        <v>50.789944799999994</v>
      </c>
      <c r="M146" s="268">
        <f t="shared" si="40"/>
        <v>627.92286480000007</v>
      </c>
      <c r="N146" s="268">
        <v>678.71</v>
      </c>
      <c r="O146" s="269">
        <f t="shared" si="36"/>
        <v>2.9605107720629396E-4</v>
      </c>
      <c r="P146" s="44"/>
      <c r="Q146" s="49"/>
      <c r="R146" s="124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4"/>
      <c r="AI146" s="44"/>
      <c r="AJ146" s="44"/>
    </row>
    <row r="147" spans="1:36" x14ac:dyDescent="0.25">
      <c r="A147" s="94"/>
      <c r="B147" s="261">
        <v>8</v>
      </c>
      <c r="C147" s="261"/>
      <c r="D147" s="261"/>
      <c r="E147" s="261" t="s">
        <v>555</v>
      </c>
      <c r="F147" s="261"/>
      <c r="G147" s="278"/>
      <c r="H147" s="262"/>
      <c r="I147" s="261"/>
      <c r="J147" s="261"/>
      <c r="K147" s="261"/>
      <c r="L147" s="261"/>
      <c r="M147" s="261"/>
      <c r="N147" s="263">
        <f>N148+N152</f>
        <v>73250</v>
      </c>
      <c r="O147" s="264">
        <f>N147/$N$472</f>
        <v>3.1951409888407466E-2</v>
      </c>
      <c r="P147" s="44"/>
      <c r="Q147" s="49"/>
      <c r="R147" s="124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4"/>
      <c r="AI147" s="44"/>
      <c r="AJ147" s="44"/>
    </row>
    <row r="148" spans="1:36" x14ac:dyDescent="0.25">
      <c r="A148" s="94"/>
      <c r="B148" s="261" t="s">
        <v>205</v>
      </c>
      <c r="C148" s="261"/>
      <c r="D148" s="261"/>
      <c r="E148" s="261" t="s">
        <v>137</v>
      </c>
      <c r="F148" s="261"/>
      <c r="G148" s="278"/>
      <c r="H148" s="262"/>
      <c r="I148" s="261"/>
      <c r="J148" s="261"/>
      <c r="K148" s="261"/>
      <c r="L148" s="261"/>
      <c r="M148" s="261"/>
      <c r="N148" s="263">
        <f>SUM(N149:N151)</f>
        <v>60411.9</v>
      </c>
      <c r="O148" s="264">
        <f>N148/$N$472</f>
        <v>2.6351472751364957E-2</v>
      </c>
      <c r="P148" s="44"/>
      <c r="Q148" s="49"/>
      <c r="R148" s="124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4"/>
      <c r="AI148" s="44"/>
      <c r="AJ148" s="44"/>
    </row>
    <row r="149" spans="1:36" ht="41.4" x14ac:dyDescent="0.25">
      <c r="A149" s="94"/>
      <c r="B149" s="265" t="s">
        <v>556</v>
      </c>
      <c r="C149" s="266" t="s">
        <v>139</v>
      </c>
      <c r="D149" s="265" t="s">
        <v>40</v>
      </c>
      <c r="E149" s="265" t="s">
        <v>140</v>
      </c>
      <c r="F149" s="267" t="s">
        <v>41</v>
      </c>
      <c r="G149" s="279">
        <v>1453.38</v>
      </c>
      <c r="H149" s="268">
        <v>9.18</v>
      </c>
      <c r="I149" s="268">
        <f>5.94*1.2488</f>
        <v>7.417872</v>
      </c>
      <c r="J149" s="268">
        <f>3.24*1.2488</f>
        <v>4.0461119999999999</v>
      </c>
      <c r="K149" s="268">
        <f>I149+J149</f>
        <v>11.463984</v>
      </c>
      <c r="L149" s="268">
        <f>G149*I149</f>
        <v>10780.986807360001</v>
      </c>
      <c r="M149" s="268">
        <f>G149*J149</f>
        <v>5880.53825856</v>
      </c>
      <c r="N149" s="268">
        <v>16655.73</v>
      </c>
      <c r="O149" s="269">
        <f t="shared" si="36"/>
        <v>7.2651748289507831E-3</v>
      </c>
      <c r="P149" s="44"/>
      <c r="Q149" s="49"/>
      <c r="R149" s="124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4"/>
      <c r="AI149" s="44"/>
      <c r="AJ149" s="44"/>
    </row>
    <row r="150" spans="1:36" ht="27.6" x14ac:dyDescent="0.25">
      <c r="A150" s="94"/>
      <c r="B150" s="265" t="s">
        <v>557</v>
      </c>
      <c r="C150" s="266" t="s">
        <v>1145</v>
      </c>
      <c r="D150" s="265" t="s">
        <v>40</v>
      </c>
      <c r="E150" s="265" t="s">
        <v>1146</v>
      </c>
      <c r="F150" s="267" t="s">
        <v>41</v>
      </c>
      <c r="G150" s="279">
        <v>1375.61</v>
      </c>
      <c r="H150" s="268">
        <v>24.15</v>
      </c>
      <c r="I150" s="268">
        <f>12.5*1.2488</f>
        <v>15.61</v>
      </c>
      <c r="J150" s="268">
        <f>11.65*1.2488</f>
        <v>14.54852</v>
      </c>
      <c r="K150" s="268">
        <f>I150+J150</f>
        <v>30.158519999999999</v>
      </c>
      <c r="L150" s="268">
        <f>G150*I150</f>
        <v>21473.272099999998</v>
      </c>
      <c r="M150" s="268">
        <f>G150*J150</f>
        <v>20013.0895972</v>
      </c>
      <c r="N150" s="268">
        <v>41488.400000000001</v>
      </c>
      <c r="O150" s="269">
        <f t="shared" si="36"/>
        <v>1.809710408210518E-2</v>
      </c>
      <c r="P150" s="44"/>
      <c r="Q150" s="49"/>
      <c r="R150" s="124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4"/>
      <c r="AI150" s="44"/>
      <c r="AJ150" s="44"/>
    </row>
    <row r="151" spans="1:36" ht="27.6" x14ac:dyDescent="0.25">
      <c r="A151" s="94"/>
      <c r="B151" s="265" t="s">
        <v>558</v>
      </c>
      <c r="C151" s="266" t="s">
        <v>1147</v>
      </c>
      <c r="D151" s="265" t="s">
        <v>40</v>
      </c>
      <c r="E151" s="265" t="s">
        <v>1148</v>
      </c>
      <c r="F151" s="267" t="s">
        <v>41</v>
      </c>
      <c r="G151" s="279">
        <v>77.77</v>
      </c>
      <c r="H151" s="268">
        <v>23.35</v>
      </c>
      <c r="I151" s="268">
        <f>11.91*1.2488</f>
        <v>14.873208</v>
      </c>
      <c r="J151" s="268">
        <f>11.44*1.2488</f>
        <v>14.286271999999999</v>
      </c>
      <c r="K151" s="268">
        <f>I151+J151</f>
        <v>29.159479999999999</v>
      </c>
      <c r="L151" s="268">
        <f>G151*I151</f>
        <v>1156.6893861599999</v>
      </c>
      <c r="M151" s="268">
        <f>G151*J151</f>
        <v>1111.0433734399999</v>
      </c>
      <c r="N151" s="268">
        <v>2267.77</v>
      </c>
      <c r="O151" s="269">
        <f t="shared" si="36"/>
        <v>9.891938403089938E-4</v>
      </c>
      <c r="P151" s="44"/>
      <c r="Q151" s="49"/>
      <c r="R151" s="124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4"/>
      <c r="AI151" s="44"/>
      <c r="AJ151" s="44"/>
    </row>
    <row r="152" spans="1:36" x14ac:dyDescent="0.25">
      <c r="A152" s="94"/>
      <c r="B152" s="261" t="s">
        <v>206</v>
      </c>
      <c r="C152" s="261"/>
      <c r="D152" s="261"/>
      <c r="E152" s="261" t="s">
        <v>559</v>
      </c>
      <c r="F152" s="261"/>
      <c r="G152" s="278"/>
      <c r="H152" s="262"/>
      <c r="I152" s="261"/>
      <c r="J152" s="261"/>
      <c r="K152" s="261"/>
      <c r="L152" s="261"/>
      <c r="M152" s="261"/>
      <c r="N152" s="263">
        <f>SUM(N153)</f>
        <v>12838.1</v>
      </c>
      <c r="O152" s="264">
        <f>N152/$N$472</f>
        <v>5.5999371370425103E-3</v>
      </c>
      <c r="P152" s="44"/>
      <c r="Q152" s="49"/>
      <c r="R152" s="124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4"/>
      <c r="AI152" s="44"/>
      <c r="AJ152" s="44"/>
    </row>
    <row r="153" spans="1:36" ht="27.6" x14ac:dyDescent="0.25">
      <c r="A153" s="94"/>
      <c r="B153" s="265" t="s">
        <v>560</v>
      </c>
      <c r="C153" s="266" t="s">
        <v>999</v>
      </c>
      <c r="D153" s="265" t="s">
        <v>40</v>
      </c>
      <c r="E153" s="265" t="s">
        <v>1000</v>
      </c>
      <c r="F153" s="267" t="s">
        <v>41</v>
      </c>
      <c r="G153" s="279">
        <v>110</v>
      </c>
      <c r="H153" s="268">
        <v>93.46</v>
      </c>
      <c r="I153" s="268">
        <f>25.39*1.2488</f>
        <v>31.707031999999998</v>
      </c>
      <c r="J153" s="268">
        <f>68.07*1.2488</f>
        <v>85.005815999999982</v>
      </c>
      <c r="K153" s="268">
        <f>I153+J153</f>
        <v>116.71284799999998</v>
      </c>
      <c r="L153" s="268">
        <f>G153*I153</f>
        <v>3487.7735199999997</v>
      </c>
      <c r="M153" s="268">
        <f>G153*J153</f>
        <v>9350.6397599999982</v>
      </c>
      <c r="N153" s="268">
        <v>12838.1</v>
      </c>
      <c r="O153" s="269">
        <f t="shared" si="36"/>
        <v>5.5999371370425103E-3</v>
      </c>
      <c r="P153" s="44"/>
      <c r="Q153" s="49"/>
      <c r="R153" s="124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4"/>
      <c r="AI153" s="44"/>
      <c r="AJ153" s="44"/>
    </row>
    <row r="154" spans="1:36" x14ac:dyDescent="0.25">
      <c r="A154" s="94"/>
      <c r="B154" s="261">
        <v>9</v>
      </c>
      <c r="C154" s="261"/>
      <c r="D154" s="261"/>
      <c r="E154" s="261" t="s">
        <v>561</v>
      </c>
      <c r="F154" s="261"/>
      <c r="G154" s="278"/>
      <c r="H154" s="262"/>
      <c r="I154" s="261"/>
      <c r="J154" s="261"/>
      <c r="K154" s="261"/>
      <c r="L154" s="261"/>
      <c r="M154" s="261"/>
      <c r="N154" s="263">
        <f>N155+N158+N160</f>
        <v>139488.71000000002</v>
      </c>
      <c r="O154" s="264">
        <f>N154/$N$472</f>
        <v>6.0844518061640984E-2</v>
      </c>
      <c r="P154" s="44"/>
      <c r="Q154" s="49"/>
      <c r="R154" s="124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4"/>
      <c r="AI154" s="44"/>
      <c r="AJ154" s="44"/>
    </row>
    <row r="155" spans="1:36" x14ac:dyDescent="0.25">
      <c r="A155" s="94"/>
      <c r="B155" s="261" t="s">
        <v>232</v>
      </c>
      <c r="C155" s="261"/>
      <c r="D155" s="261"/>
      <c r="E155" s="261" t="s">
        <v>137</v>
      </c>
      <c r="F155" s="261"/>
      <c r="G155" s="278"/>
      <c r="H155" s="262"/>
      <c r="I155" s="261"/>
      <c r="J155" s="261"/>
      <c r="K155" s="261"/>
      <c r="L155" s="261"/>
      <c r="M155" s="261"/>
      <c r="N155" s="263">
        <f>SUM(N156:N157)</f>
        <v>52304.97</v>
      </c>
      <c r="O155" s="264">
        <f>N155/$N$472</f>
        <v>2.2815256459670388E-2</v>
      </c>
      <c r="P155" s="44"/>
      <c r="Q155" s="49"/>
      <c r="R155" s="124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4"/>
      <c r="AI155" s="44"/>
      <c r="AJ155" s="44"/>
    </row>
    <row r="156" spans="1:36" ht="27.6" x14ac:dyDescent="0.25">
      <c r="A156" s="94"/>
      <c r="B156" s="265" t="s">
        <v>562</v>
      </c>
      <c r="C156" s="266" t="s">
        <v>563</v>
      </c>
      <c r="D156" s="265" t="s">
        <v>40</v>
      </c>
      <c r="E156" s="265" t="s">
        <v>564</v>
      </c>
      <c r="F156" s="267" t="s">
        <v>41</v>
      </c>
      <c r="G156" s="279">
        <v>393.44</v>
      </c>
      <c r="H156" s="268">
        <v>86.38</v>
      </c>
      <c r="I156" s="268">
        <f>10*1.2488</f>
        <v>12.488</v>
      </c>
      <c r="J156" s="268">
        <f>76.38*1.2488</f>
        <v>95.383343999999994</v>
      </c>
      <c r="K156" s="268">
        <f>I156+J156</f>
        <v>107.87134399999999</v>
      </c>
      <c r="L156" s="268">
        <f>G156*I156</f>
        <v>4913.2787199999993</v>
      </c>
      <c r="M156" s="268">
        <f>G156*J156</f>
        <v>37527.622863359997</v>
      </c>
      <c r="N156" s="268">
        <v>42440.37</v>
      </c>
      <c r="O156" s="269">
        <f t="shared" si="36"/>
        <v>1.8512350275572308E-2</v>
      </c>
      <c r="P156" s="44"/>
      <c r="Q156" s="49"/>
      <c r="R156" s="124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4"/>
      <c r="AI156" s="44"/>
      <c r="AJ156" s="44"/>
    </row>
    <row r="157" spans="1:36" x14ac:dyDescent="0.25">
      <c r="A157" s="94"/>
      <c r="B157" s="265" t="s">
        <v>565</v>
      </c>
      <c r="C157" s="266" t="s">
        <v>1455</v>
      </c>
      <c r="D157" s="265" t="s">
        <v>200</v>
      </c>
      <c r="E157" s="265" t="s">
        <v>1456</v>
      </c>
      <c r="F157" s="267" t="s">
        <v>58</v>
      </c>
      <c r="G157" s="279">
        <f>G156*0.025</f>
        <v>9.8360000000000003</v>
      </c>
      <c r="H157" s="268">
        <v>802.77</v>
      </c>
      <c r="I157" s="268">
        <f>338.7*1.2488</f>
        <v>422.96855999999997</v>
      </c>
      <c r="J157" s="268">
        <f>464.07*1.2488</f>
        <v>579.5306159999999</v>
      </c>
      <c r="K157" s="268">
        <f>I157+J157</f>
        <v>1002.4991759999998</v>
      </c>
      <c r="L157" s="268">
        <f>G157*I157</f>
        <v>4160.3187561599998</v>
      </c>
      <c r="M157" s="268">
        <f>G157*J157</f>
        <v>5700.263138975999</v>
      </c>
      <c r="N157" s="268">
        <v>9864.6</v>
      </c>
      <c r="O157" s="269">
        <f t="shared" si="36"/>
        <v>4.3029061840980792E-3</v>
      </c>
      <c r="P157" s="44"/>
      <c r="Q157" s="49"/>
      <c r="R157" s="124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4"/>
      <c r="AI157" s="44"/>
      <c r="AJ157" s="44"/>
    </row>
    <row r="158" spans="1:36" x14ac:dyDescent="0.25">
      <c r="A158" s="94"/>
      <c r="B158" s="261" t="s">
        <v>235</v>
      </c>
      <c r="C158" s="261"/>
      <c r="D158" s="261"/>
      <c r="E158" s="261" t="s">
        <v>566</v>
      </c>
      <c r="F158" s="261"/>
      <c r="G158" s="278"/>
      <c r="H158" s="262"/>
      <c r="I158" s="261"/>
      <c r="J158" s="261"/>
      <c r="K158" s="261"/>
      <c r="L158" s="261"/>
      <c r="M158" s="261"/>
      <c r="N158" s="263">
        <f>SUM(N159)</f>
        <v>47704.6</v>
      </c>
      <c r="O158" s="264">
        <f>N158/$N$472</f>
        <v>2.0808590145563452E-2</v>
      </c>
      <c r="P158" s="44"/>
      <c r="Q158" s="49"/>
      <c r="R158" s="124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4"/>
      <c r="AI158" s="44"/>
      <c r="AJ158" s="44"/>
    </row>
    <row r="159" spans="1:36" x14ac:dyDescent="0.25">
      <c r="A159" s="94"/>
      <c r="B159" s="265" t="s">
        <v>567</v>
      </c>
      <c r="C159" s="266" t="s">
        <v>1457</v>
      </c>
      <c r="D159" s="265" t="s">
        <v>200</v>
      </c>
      <c r="E159" s="265" t="s">
        <v>1458</v>
      </c>
      <c r="F159" s="267" t="s">
        <v>41</v>
      </c>
      <c r="G159" s="279">
        <v>393.44</v>
      </c>
      <c r="H159" s="268">
        <v>97.09</v>
      </c>
      <c r="I159" s="268">
        <f>8.57*1.2488</f>
        <v>10.702216</v>
      </c>
      <c r="J159" s="268">
        <f>88.52*1.2488</f>
        <v>110.54377599999999</v>
      </c>
      <c r="K159" s="268">
        <f>I159+J159</f>
        <v>121.245992</v>
      </c>
      <c r="L159" s="268">
        <f>G159*I159</f>
        <v>4210.6798630399999</v>
      </c>
      <c r="M159" s="268">
        <f>G159*J159</f>
        <v>43492.343229439997</v>
      </c>
      <c r="N159" s="268">
        <v>47704.6</v>
      </c>
      <c r="O159" s="269">
        <f t="shared" si="36"/>
        <v>2.0808590145563452E-2</v>
      </c>
      <c r="P159" s="44"/>
      <c r="Q159" s="49"/>
      <c r="R159" s="124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4"/>
      <c r="AI159" s="44"/>
      <c r="AJ159" s="44"/>
    </row>
    <row r="160" spans="1:36" x14ac:dyDescent="0.25">
      <c r="A160" s="94"/>
      <c r="B160" s="261" t="s">
        <v>236</v>
      </c>
      <c r="C160" s="261"/>
      <c r="D160" s="261"/>
      <c r="E160" s="261" t="s">
        <v>569</v>
      </c>
      <c r="F160" s="261"/>
      <c r="G160" s="278"/>
      <c r="H160" s="262"/>
      <c r="I160" s="261"/>
      <c r="J160" s="261"/>
      <c r="K160" s="261"/>
      <c r="L160" s="261"/>
      <c r="M160" s="261"/>
      <c r="N160" s="263">
        <f>SUM(N161)</f>
        <v>39479.14</v>
      </c>
      <c r="O160" s="264">
        <f>N160/$N$472</f>
        <v>1.7220671456407134E-2</v>
      </c>
      <c r="P160" s="44"/>
      <c r="Q160" s="49"/>
      <c r="R160" s="85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4"/>
      <c r="AI160" s="44"/>
      <c r="AJ160" s="44"/>
    </row>
    <row r="161" spans="1:36" x14ac:dyDescent="0.25">
      <c r="A161" s="94"/>
      <c r="B161" s="265" t="s">
        <v>568</v>
      </c>
      <c r="C161" s="266" t="s">
        <v>1459</v>
      </c>
      <c r="D161" s="265" t="s">
        <v>200</v>
      </c>
      <c r="E161" s="265" t="s">
        <v>1460</v>
      </c>
      <c r="F161" s="267" t="s">
        <v>240</v>
      </c>
      <c r="G161" s="279">
        <v>260.64</v>
      </c>
      <c r="H161" s="268">
        <v>121.29</v>
      </c>
      <c r="I161" s="268">
        <f>0.51*1.2488</f>
        <v>0.63688800000000001</v>
      </c>
      <c r="J161" s="268">
        <f>120.78*1.2488</f>
        <v>150.83006399999999</v>
      </c>
      <c r="K161" s="268">
        <f>I161+J161</f>
        <v>151.46695199999999</v>
      </c>
      <c r="L161" s="268">
        <f>G161*I161</f>
        <v>165.99848832000001</v>
      </c>
      <c r="M161" s="268">
        <f>G161*J161</f>
        <v>39312.347880959998</v>
      </c>
      <c r="N161" s="268">
        <v>39479.14</v>
      </c>
      <c r="O161" s="269">
        <f t="shared" si="36"/>
        <v>1.7220671456407134E-2</v>
      </c>
      <c r="P161" s="44"/>
      <c r="Q161" s="49"/>
      <c r="R161" s="85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4"/>
      <c r="AI161" s="44"/>
      <c r="AJ161" s="44"/>
    </row>
    <row r="162" spans="1:36" x14ac:dyDescent="0.25">
      <c r="A162" s="94"/>
      <c r="B162" s="261">
        <v>10</v>
      </c>
      <c r="C162" s="261"/>
      <c r="D162" s="261"/>
      <c r="E162" s="261" t="s">
        <v>570</v>
      </c>
      <c r="F162" s="261"/>
      <c r="G162" s="278"/>
      <c r="H162" s="262"/>
      <c r="I162" s="261"/>
      <c r="J162" s="261"/>
      <c r="K162" s="261"/>
      <c r="L162" s="261"/>
      <c r="M162" s="261"/>
      <c r="N162" s="263">
        <f>N163</f>
        <v>17687.439999999999</v>
      </c>
      <c r="O162" s="264">
        <f>N162/$N$472</f>
        <v>7.7152033490322687E-3</v>
      </c>
      <c r="P162" s="44"/>
      <c r="Q162" s="49"/>
      <c r="R162" s="85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4"/>
      <c r="AI162" s="44"/>
      <c r="AJ162" s="44"/>
    </row>
    <row r="163" spans="1:36" x14ac:dyDescent="0.25">
      <c r="A163" s="94"/>
      <c r="B163" s="261" t="s">
        <v>237</v>
      </c>
      <c r="C163" s="261"/>
      <c r="D163" s="261"/>
      <c r="E163" s="261" t="s">
        <v>137</v>
      </c>
      <c r="F163" s="261"/>
      <c r="G163" s="278"/>
      <c r="H163" s="262"/>
      <c r="I163" s="261"/>
      <c r="J163" s="261"/>
      <c r="K163" s="261"/>
      <c r="L163" s="261"/>
      <c r="M163" s="261"/>
      <c r="N163" s="263">
        <f>SUM(N164)</f>
        <v>17687.439999999999</v>
      </c>
      <c r="O163" s="264">
        <f>N163/$N$472</f>
        <v>7.7152033490322687E-3</v>
      </c>
      <c r="P163" s="44"/>
      <c r="Q163" s="49"/>
      <c r="R163" s="85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4"/>
      <c r="AI163" s="44"/>
      <c r="AJ163" s="44"/>
    </row>
    <row r="164" spans="1:36" ht="27.6" x14ac:dyDescent="0.25">
      <c r="A164" s="94"/>
      <c r="B164" s="265" t="s">
        <v>921</v>
      </c>
      <c r="C164" s="266" t="s">
        <v>563</v>
      </c>
      <c r="D164" s="265" t="s">
        <v>40</v>
      </c>
      <c r="E164" s="265" t="s">
        <v>564</v>
      </c>
      <c r="F164" s="267" t="s">
        <v>41</v>
      </c>
      <c r="G164" s="279">
        <v>163.97</v>
      </c>
      <c r="H164" s="268">
        <v>86.38</v>
      </c>
      <c r="I164" s="268">
        <f>10*1.2488</f>
        <v>12.488</v>
      </c>
      <c r="J164" s="268">
        <f>76.38*1.2488</f>
        <v>95.383343999999994</v>
      </c>
      <c r="K164" s="268">
        <f>I164+J164</f>
        <v>107.87134399999999</v>
      </c>
      <c r="L164" s="268">
        <f>G164*I164</f>
        <v>2047.6573599999999</v>
      </c>
      <c r="M164" s="268">
        <f>G164*J164</f>
        <v>15640.006915679998</v>
      </c>
      <c r="N164" s="268">
        <v>17687.439999999999</v>
      </c>
      <c r="O164" s="269">
        <f t="shared" si="36"/>
        <v>7.7152033490322687E-3</v>
      </c>
      <c r="P164" s="44"/>
      <c r="Q164" s="49"/>
      <c r="R164" s="85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4"/>
      <c r="AI164" s="44"/>
      <c r="AJ164" s="44"/>
    </row>
    <row r="165" spans="1:36" x14ac:dyDescent="0.25">
      <c r="A165" s="94"/>
      <c r="B165" s="261">
        <v>11</v>
      </c>
      <c r="C165" s="261"/>
      <c r="D165" s="261"/>
      <c r="E165" s="261" t="s">
        <v>571</v>
      </c>
      <c r="F165" s="261"/>
      <c r="G165" s="278"/>
      <c r="H165" s="262"/>
      <c r="I165" s="261"/>
      <c r="J165" s="261"/>
      <c r="K165" s="261"/>
      <c r="L165" s="261"/>
      <c r="M165" s="261"/>
      <c r="N165" s="263">
        <f>N166+N169</f>
        <v>31931.69</v>
      </c>
      <c r="O165" s="264">
        <f>N165/$N$472</f>
        <v>1.3928498506751697E-2</v>
      </c>
      <c r="P165" s="44"/>
      <c r="Q165" s="49"/>
      <c r="R165" s="85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4"/>
      <c r="AI165" s="44"/>
      <c r="AJ165" s="44"/>
    </row>
    <row r="166" spans="1:36" x14ac:dyDescent="0.25">
      <c r="A166" s="94"/>
      <c r="B166" s="261" t="s">
        <v>241</v>
      </c>
      <c r="C166" s="261"/>
      <c r="D166" s="261"/>
      <c r="E166" s="261" t="s">
        <v>137</v>
      </c>
      <c r="F166" s="261"/>
      <c r="G166" s="278"/>
      <c r="H166" s="262"/>
      <c r="I166" s="261"/>
      <c r="J166" s="261"/>
      <c r="K166" s="261"/>
      <c r="L166" s="261"/>
      <c r="M166" s="261"/>
      <c r="N166" s="263">
        <f>SUM(N167:N168)</f>
        <v>239.76999999999998</v>
      </c>
      <c r="O166" s="264">
        <f>N166/$N$472</f>
        <v>1.0458688804018372E-4</v>
      </c>
      <c r="P166" s="44"/>
      <c r="Q166" s="49"/>
      <c r="R166" s="85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4"/>
      <c r="AI166" s="44"/>
      <c r="AJ166" s="44"/>
    </row>
    <row r="167" spans="1:36" ht="27.6" x14ac:dyDescent="0.25">
      <c r="A167" s="94"/>
      <c r="B167" s="265" t="s">
        <v>1001</v>
      </c>
      <c r="C167" s="266" t="s">
        <v>1002</v>
      </c>
      <c r="D167" s="265" t="s">
        <v>40</v>
      </c>
      <c r="E167" s="265" t="s">
        <v>1003</v>
      </c>
      <c r="F167" s="267" t="s">
        <v>41</v>
      </c>
      <c r="G167" s="279">
        <v>4.24</v>
      </c>
      <c r="H167" s="268">
        <v>9.75</v>
      </c>
      <c r="I167" s="268">
        <f>1.42*1.2488</f>
        <v>1.7732959999999998</v>
      </c>
      <c r="J167" s="268">
        <f>8.33*1.2488</f>
        <v>10.402503999999999</v>
      </c>
      <c r="K167" s="268">
        <f>I167+J167</f>
        <v>12.175799999999999</v>
      </c>
      <c r="L167" s="268">
        <f>G167*I167</f>
        <v>7.5187750399999995</v>
      </c>
      <c r="M167" s="268">
        <f>G167*J167</f>
        <v>44.106616959999997</v>
      </c>
      <c r="N167" s="268">
        <v>51.64</v>
      </c>
      <c r="O167" s="269">
        <f t="shared" si="36"/>
        <v>2.2525198725424732E-5</v>
      </c>
      <c r="P167" s="44"/>
      <c r="Q167" s="49"/>
      <c r="R167" s="85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4"/>
      <c r="AI167" s="44"/>
      <c r="AJ167" s="44"/>
    </row>
    <row r="168" spans="1:36" ht="27.6" x14ac:dyDescent="0.25">
      <c r="A168" s="94"/>
      <c r="B168" s="265" t="s">
        <v>1004</v>
      </c>
      <c r="C168" s="266" t="s">
        <v>1005</v>
      </c>
      <c r="D168" s="265" t="s">
        <v>40</v>
      </c>
      <c r="E168" s="265" t="s">
        <v>1006</v>
      </c>
      <c r="F168" s="267" t="s">
        <v>41</v>
      </c>
      <c r="G168" s="279">
        <v>4.24</v>
      </c>
      <c r="H168" s="268">
        <v>35.53</v>
      </c>
      <c r="I168" s="268">
        <f>20.91*1.2488</f>
        <v>26.112407999999999</v>
      </c>
      <c r="J168" s="268">
        <f>14.62*1.2488</f>
        <v>18.257455999999998</v>
      </c>
      <c r="K168" s="268">
        <f>I168+J168</f>
        <v>44.369863999999993</v>
      </c>
      <c r="L168" s="268">
        <f>G168*I168</f>
        <v>110.71660992</v>
      </c>
      <c r="M168" s="268">
        <f>G168*J168</f>
        <v>77.411613439999996</v>
      </c>
      <c r="N168" s="268">
        <v>188.13</v>
      </c>
      <c r="O168" s="269">
        <f t="shared" si="36"/>
        <v>8.2061689314758999E-5</v>
      </c>
      <c r="P168" s="44"/>
      <c r="Q168" s="49"/>
      <c r="R168" s="85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4"/>
      <c r="AI168" s="44"/>
      <c r="AJ168" s="44"/>
    </row>
    <row r="169" spans="1:36" x14ac:dyDescent="0.25">
      <c r="A169" s="94"/>
      <c r="B169" s="261" t="s">
        <v>922</v>
      </c>
      <c r="C169" s="261"/>
      <c r="D169" s="261"/>
      <c r="E169" s="261" t="s">
        <v>1007</v>
      </c>
      <c r="F169" s="261"/>
      <c r="G169" s="278"/>
      <c r="H169" s="262"/>
      <c r="I169" s="261"/>
      <c r="J169" s="261"/>
      <c r="K169" s="261"/>
      <c r="L169" s="261"/>
      <c r="M169" s="261"/>
      <c r="N169" s="263">
        <f>SUM(N170)</f>
        <v>31691.919999999998</v>
      </c>
      <c r="O169" s="264">
        <f>N169/$N$472</f>
        <v>1.3823911618711512E-2</v>
      </c>
      <c r="P169" s="44"/>
      <c r="Q169" s="49"/>
      <c r="R169" s="85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4"/>
      <c r="AI169" s="44"/>
      <c r="AJ169" s="44"/>
    </row>
    <row r="170" spans="1:36" ht="27.6" x14ac:dyDescent="0.25">
      <c r="A170" s="94"/>
      <c r="B170" s="265" t="s">
        <v>1008</v>
      </c>
      <c r="C170" s="266" t="s">
        <v>233</v>
      </c>
      <c r="D170" s="265" t="s">
        <v>40</v>
      </c>
      <c r="E170" s="265" t="s">
        <v>234</v>
      </c>
      <c r="F170" s="267" t="s">
        <v>41</v>
      </c>
      <c r="G170" s="279">
        <v>340.81</v>
      </c>
      <c r="H170" s="268">
        <v>74.459999999999994</v>
      </c>
      <c r="I170" s="268">
        <f>20.33*1.2488</f>
        <v>25.388103999999995</v>
      </c>
      <c r="J170" s="268">
        <f>54.13*1.2488</f>
        <v>67.597543999999999</v>
      </c>
      <c r="K170" s="268">
        <f>I170+J170</f>
        <v>92.985647999999998</v>
      </c>
      <c r="L170" s="268">
        <f>G170*I170</f>
        <v>8652.5197242399991</v>
      </c>
      <c r="M170" s="268">
        <f>G170*J170</f>
        <v>23037.918970639999</v>
      </c>
      <c r="N170" s="268">
        <v>31691.919999999998</v>
      </c>
      <c r="O170" s="269">
        <f t="shared" si="36"/>
        <v>1.3823911618711512E-2</v>
      </c>
      <c r="P170" s="44"/>
      <c r="Q170" s="49"/>
      <c r="R170" s="85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4"/>
      <c r="AI170" s="44"/>
      <c r="AJ170" s="44"/>
    </row>
    <row r="171" spans="1:36" x14ac:dyDescent="0.25">
      <c r="A171" s="94"/>
      <c r="B171" s="261">
        <v>12</v>
      </c>
      <c r="C171" s="261"/>
      <c r="D171" s="261"/>
      <c r="E171" s="261" t="s">
        <v>277</v>
      </c>
      <c r="F171" s="261"/>
      <c r="G171" s="278"/>
      <c r="H171" s="262"/>
      <c r="I171" s="261"/>
      <c r="J171" s="261"/>
      <c r="K171" s="261"/>
      <c r="L171" s="261"/>
      <c r="M171" s="261"/>
      <c r="N171" s="263">
        <f>N172+N177+N180</f>
        <v>87934.5</v>
      </c>
      <c r="O171" s="264">
        <f>N171/$N$472</f>
        <v>3.8356740652998857E-2</v>
      </c>
      <c r="P171" s="44"/>
      <c r="Q171" s="49"/>
      <c r="R171" s="85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4"/>
      <c r="AI171" s="44"/>
      <c r="AJ171" s="44"/>
    </row>
    <row r="172" spans="1:36" x14ac:dyDescent="0.25">
      <c r="A172" s="94"/>
      <c r="B172" s="261" t="s">
        <v>242</v>
      </c>
      <c r="C172" s="261"/>
      <c r="D172" s="261"/>
      <c r="E172" s="261" t="s">
        <v>572</v>
      </c>
      <c r="F172" s="261"/>
      <c r="G172" s="278"/>
      <c r="H172" s="262"/>
      <c r="I172" s="261"/>
      <c r="J172" s="261"/>
      <c r="K172" s="261"/>
      <c r="L172" s="261"/>
      <c r="M172" s="261"/>
      <c r="N172" s="263">
        <f>SUM(N173:N176)</f>
        <v>67743.06</v>
      </c>
      <c r="O172" s="264">
        <f>N172/$N$472</f>
        <v>2.9549300712013383E-2</v>
      </c>
      <c r="P172" s="44"/>
      <c r="Q172" s="49"/>
      <c r="R172" s="85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4"/>
      <c r="AI172" s="44"/>
      <c r="AJ172" s="44"/>
    </row>
    <row r="173" spans="1:36" ht="27.6" customHeight="1" x14ac:dyDescent="0.25">
      <c r="A173" s="94"/>
      <c r="B173" s="265" t="s">
        <v>1009</v>
      </c>
      <c r="C173" s="266" t="s">
        <v>279</v>
      </c>
      <c r="D173" s="265" t="s">
        <v>40</v>
      </c>
      <c r="E173" s="265" t="s">
        <v>280</v>
      </c>
      <c r="F173" s="267" t="s">
        <v>41</v>
      </c>
      <c r="G173" s="279">
        <v>2078.46</v>
      </c>
      <c r="H173" s="268">
        <v>4.91</v>
      </c>
      <c r="I173" s="268">
        <f>2.15*1.2488</f>
        <v>2.6849199999999995</v>
      </c>
      <c r="J173" s="268">
        <f>2.76*1.2488</f>
        <v>3.4466879999999995</v>
      </c>
      <c r="K173" s="268">
        <f>I173+J173</f>
        <v>6.1316079999999991</v>
      </c>
      <c r="L173" s="268">
        <f>G173*I173</f>
        <v>5580.4988231999987</v>
      </c>
      <c r="M173" s="268">
        <f>G173*J173</f>
        <v>7163.8031404799995</v>
      </c>
      <c r="N173" s="268">
        <v>12740.96</v>
      </c>
      <c r="O173" s="269">
        <f t="shared" si="36"/>
        <v>5.5575649874649007E-3</v>
      </c>
      <c r="P173" s="44"/>
      <c r="Q173" s="49"/>
      <c r="R173" s="85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4"/>
      <c r="AI173" s="44"/>
      <c r="AJ173" s="44"/>
    </row>
    <row r="174" spans="1:36" x14ac:dyDescent="0.25">
      <c r="A174" s="94"/>
      <c r="B174" s="265" t="s">
        <v>1010</v>
      </c>
      <c r="C174" s="266" t="s">
        <v>1130</v>
      </c>
      <c r="D174" s="265" t="s">
        <v>40</v>
      </c>
      <c r="E174" s="265" t="s">
        <v>1131</v>
      </c>
      <c r="F174" s="267" t="s">
        <v>41</v>
      </c>
      <c r="G174" s="279">
        <v>1351.77</v>
      </c>
      <c r="H174" s="268">
        <v>13.76</v>
      </c>
      <c r="I174" s="268">
        <f>7.99*1.2488</f>
        <v>9.9779119999999999</v>
      </c>
      <c r="J174" s="268">
        <f>5.77*1.2488</f>
        <v>7.2055759999999989</v>
      </c>
      <c r="K174" s="268">
        <f>I174+J174</f>
        <v>17.183487999999997</v>
      </c>
      <c r="L174" s="268">
        <f>G174*I174</f>
        <v>13487.84210424</v>
      </c>
      <c r="M174" s="268">
        <f>G174*J174</f>
        <v>9740.2814695199977</v>
      </c>
      <c r="N174" s="268">
        <v>23223.41</v>
      </c>
      <c r="O174" s="269">
        <f t="shared" si="36"/>
        <v>1.0129975316266769E-2</v>
      </c>
      <c r="P174" s="44"/>
      <c r="Q174" s="49"/>
      <c r="R174" s="85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4"/>
      <c r="AI174" s="44"/>
      <c r="AJ174" s="44"/>
    </row>
    <row r="175" spans="1:36" x14ac:dyDescent="0.25">
      <c r="A175" s="94"/>
      <c r="B175" s="265" t="s">
        <v>1011</v>
      </c>
      <c r="C175" s="266" t="s">
        <v>1149</v>
      </c>
      <c r="D175" s="265" t="s">
        <v>40</v>
      </c>
      <c r="E175" s="265" t="s">
        <v>1150</v>
      </c>
      <c r="F175" s="267" t="s">
        <v>41</v>
      </c>
      <c r="G175" s="279">
        <v>1351.77</v>
      </c>
      <c r="H175" s="268">
        <v>10.76</v>
      </c>
      <c r="I175" s="268">
        <f>5.26*1.2488</f>
        <v>6.568687999999999</v>
      </c>
      <c r="J175" s="268">
        <f>5.5*1.2488</f>
        <v>6.8683999999999994</v>
      </c>
      <c r="K175" s="268">
        <f>I175+J175</f>
        <v>13.437087999999999</v>
      </c>
      <c r="L175" s="268">
        <f>G175*I175</f>
        <v>8879.3553777599991</v>
      </c>
      <c r="M175" s="268">
        <f>G175*J175</f>
        <v>9284.4970679999988</v>
      </c>
      <c r="N175" s="268">
        <v>18167.79</v>
      </c>
      <c r="O175" s="269">
        <f t="shared" si="36"/>
        <v>7.9247304444574791E-3</v>
      </c>
      <c r="P175" s="44"/>
      <c r="Q175" s="49"/>
      <c r="R175" s="124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4"/>
      <c r="AI175" s="44"/>
      <c r="AJ175" s="44"/>
    </row>
    <row r="176" spans="1:36" x14ac:dyDescent="0.25">
      <c r="A176" s="94"/>
      <c r="B176" s="265" t="s">
        <v>1012</v>
      </c>
      <c r="C176" s="266" t="s">
        <v>1151</v>
      </c>
      <c r="D176" s="265" t="s">
        <v>40</v>
      </c>
      <c r="E176" s="265" t="s">
        <v>1152</v>
      </c>
      <c r="F176" s="267" t="s">
        <v>41</v>
      </c>
      <c r="G176" s="279">
        <v>726.69</v>
      </c>
      <c r="H176" s="268">
        <v>15</v>
      </c>
      <c r="I176" s="268">
        <f>4.98*1.2488</f>
        <v>6.2190240000000001</v>
      </c>
      <c r="J176" s="268">
        <f>10.02*1.2488</f>
        <v>12.512975999999998</v>
      </c>
      <c r="K176" s="268">
        <f>I176+J176</f>
        <v>18.731999999999999</v>
      </c>
      <c r="L176" s="268">
        <f>G176*I176</f>
        <v>4519.3025505600008</v>
      </c>
      <c r="M176" s="268">
        <f>G176*J176</f>
        <v>9093.0545294399999</v>
      </c>
      <c r="N176" s="268">
        <v>13610.9</v>
      </c>
      <c r="O176" s="269">
        <f t="shared" si="36"/>
        <v>5.9370299638242348E-3</v>
      </c>
      <c r="P176" s="44"/>
      <c r="Q176" s="49"/>
      <c r="R176" s="85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4"/>
      <c r="AI176" s="44"/>
      <c r="AJ176" s="44"/>
    </row>
    <row r="177" spans="1:36" x14ac:dyDescent="0.25">
      <c r="A177" s="94"/>
      <c r="B177" s="261" t="s">
        <v>919</v>
      </c>
      <c r="C177" s="261"/>
      <c r="D177" s="261"/>
      <c r="E177" s="261" t="s">
        <v>573</v>
      </c>
      <c r="F177" s="261"/>
      <c r="G177" s="278"/>
      <c r="H177" s="262"/>
      <c r="I177" s="261"/>
      <c r="J177" s="261"/>
      <c r="K177" s="261"/>
      <c r="L177" s="261"/>
      <c r="M177" s="261"/>
      <c r="N177" s="263">
        <f>SUM(N178:N179)</f>
        <v>16651.97</v>
      </c>
      <c r="O177" s="264">
        <f>N177/$N$472</f>
        <v>7.2635347292759663E-3</v>
      </c>
      <c r="P177" s="44"/>
      <c r="Q177" s="49"/>
      <c r="R177" s="85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4"/>
      <c r="AI177" s="44"/>
      <c r="AJ177" s="44"/>
    </row>
    <row r="178" spans="1:36" x14ac:dyDescent="0.25">
      <c r="A178" s="94"/>
      <c r="B178" s="265" t="s">
        <v>1013</v>
      </c>
      <c r="C178" s="266" t="s">
        <v>1132</v>
      </c>
      <c r="D178" s="265" t="s">
        <v>40</v>
      </c>
      <c r="E178" s="265" t="s">
        <v>1133</v>
      </c>
      <c r="F178" s="267" t="s">
        <v>41</v>
      </c>
      <c r="G178" s="279">
        <v>340.81</v>
      </c>
      <c r="H178" s="268">
        <v>25.49</v>
      </c>
      <c r="I178" s="268">
        <f>16.35*1.2488</f>
        <v>20.41788</v>
      </c>
      <c r="J178" s="268">
        <f>9.14*1.2488</f>
        <v>11.414032000000001</v>
      </c>
      <c r="K178" s="268">
        <f>I178+J178</f>
        <v>31.831912000000003</v>
      </c>
      <c r="L178" s="268">
        <f>G178*I178</f>
        <v>6958.6176827999998</v>
      </c>
      <c r="M178" s="268">
        <f>G178*J178</f>
        <v>3890.0162459200001</v>
      </c>
      <c r="N178" s="268">
        <v>10847.98</v>
      </c>
      <c r="O178" s="269">
        <f t="shared" si="36"/>
        <v>4.7318533166040462E-3</v>
      </c>
      <c r="P178" s="44"/>
      <c r="Q178" s="49"/>
      <c r="R178" s="85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4"/>
      <c r="AI178" s="44"/>
      <c r="AJ178" s="44"/>
    </row>
    <row r="179" spans="1:36" x14ac:dyDescent="0.25">
      <c r="A179" s="94"/>
      <c r="B179" s="265" t="s">
        <v>1014</v>
      </c>
      <c r="C179" s="266" t="s">
        <v>1153</v>
      </c>
      <c r="D179" s="265" t="s">
        <v>40</v>
      </c>
      <c r="E179" s="265" t="s">
        <v>1154</v>
      </c>
      <c r="F179" s="267" t="s">
        <v>41</v>
      </c>
      <c r="G179" s="279">
        <v>340.81</v>
      </c>
      <c r="H179" s="268">
        <v>13.64</v>
      </c>
      <c r="I179" s="268">
        <f>7.35*1.2488</f>
        <v>9.1786799999999982</v>
      </c>
      <c r="J179" s="268">
        <f>6.29*1.2488</f>
        <v>7.854951999999999</v>
      </c>
      <c r="K179" s="268">
        <f>I179+J179</f>
        <v>17.033631999999997</v>
      </c>
      <c r="L179" s="268">
        <f>G179*I179</f>
        <v>3128.1859307999994</v>
      </c>
      <c r="M179" s="268">
        <f>G179*J179</f>
        <v>2677.0461911199995</v>
      </c>
      <c r="N179" s="268">
        <v>5803.99</v>
      </c>
      <c r="O179" s="269">
        <f t="shared" si="36"/>
        <v>2.5316814126719188E-3</v>
      </c>
      <c r="P179" s="44"/>
      <c r="Q179" s="49"/>
      <c r="R179" s="85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4"/>
      <c r="AI179" s="44"/>
      <c r="AJ179" s="44"/>
    </row>
    <row r="180" spans="1:36" x14ac:dyDescent="0.25">
      <c r="A180" s="94"/>
      <c r="B180" s="261" t="s">
        <v>1265</v>
      </c>
      <c r="C180" s="261"/>
      <c r="D180" s="261"/>
      <c r="E180" s="261" t="s">
        <v>244</v>
      </c>
      <c r="F180" s="261"/>
      <c r="G180" s="278"/>
      <c r="H180" s="262"/>
      <c r="I180" s="261"/>
      <c r="J180" s="261"/>
      <c r="K180" s="261"/>
      <c r="L180" s="261"/>
      <c r="M180" s="261"/>
      <c r="N180" s="263">
        <f>SUM(N181:N182)</f>
        <v>3539.4700000000003</v>
      </c>
      <c r="O180" s="264">
        <f>N180/$N$472</f>
        <v>1.5439052117095097E-3</v>
      </c>
      <c r="P180" s="44"/>
      <c r="Q180" s="49"/>
      <c r="R180" s="85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4"/>
      <c r="AI180" s="44"/>
      <c r="AJ180" s="44"/>
    </row>
    <row r="181" spans="1:36" x14ac:dyDescent="0.25">
      <c r="A181" s="94"/>
      <c r="B181" s="265" t="s">
        <v>1266</v>
      </c>
      <c r="C181" s="266" t="s">
        <v>1267</v>
      </c>
      <c r="D181" s="265" t="s">
        <v>40</v>
      </c>
      <c r="E181" s="265" t="s">
        <v>1268</v>
      </c>
      <c r="F181" s="267" t="s">
        <v>41</v>
      </c>
      <c r="G181" s="279">
        <v>59.06</v>
      </c>
      <c r="H181" s="268">
        <v>28.51</v>
      </c>
      <c r="I181" s="268">
        <f>7.09*1.2488</f>
        <v>8.8539919999999999</v>
      </c>
      <c r="J181" s="268">
        <f>21.42*1.2488</f>
        <v>26.749296000000001</v>
      </c>
      <c r="K181" s="268">
        <f>I181+J181</f>
        <v>35.603287999999999</v>
      </c>
      <c r="L181" s="268">
        <f>G181*I181</f>
        <v>522.91676752000001</v>
      </c>
      <c r="M181" s="268">
        <f>G181*J181</f>
        <v>1579.8134217600002</v>
      </c>
      <c r="N181" s="268">
        <v>2102.54</v>
      </c>
      <c r="O181" s="269">
        <f t="shared" si="36"/>
        <v>9.171210559286311E-4</v>
      </c>
      <c r="P181" s="44"/>
      <c r="Q181" s="49"/>
      <c r="R181" s="85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4"/>
      <c r="AI181" s="44"/>
      <c r="AJ181" s="44"/>
    </row>
    <row r="182" spans="1:36" ht="27.6" x14ac:dyDescent="0.25">
      <c r="A182" s="94"/>
      <c r="B182" s="265" t="s">
        <v>1269</v>
      </c>
      <c r="C182" s="266" t="s">
        <v>1270</v>
      </c>
      <c r="D182" s="265" t="s">
        <v>40</v>
      </c>
      <c r="E182" s="265" t="s">
        <v>1271</v>
      </c>
      <c r="F182" s="267" t="s">
        <v>41</v>
      </c>
      <c r="G182" s="279">
        <v>59.06</v>
      </c>
      <c r="H182" s="268">
        <v>20.079999999999998</v>
      </c>
      <c r="I182" s="268">
        <f>9.63*1.2488</f>
        <v>12.025944000000001</v>
      </c>
      <c r="J182" s="268">
        <f>9.85*1.2488</f>
        <v>12.300679999999998</v>
      </c>
      <c r="K182" s="268">
        <f>I182+J182</f>
        <v>24.326623999999999</v>
      </c>
      <c r="L182" s="268">
        <f>G182*I182</f>
        <v>710.25225264000005</v>
      </c>
      <c r="M182" s="268">
        <f>G182*J182</f>
        <v>726.47816079999996</v>
      </c>
      <c r="N182" s="268">
        <v>1436.93</v>
      </c>
      <c r="O182" s="269">
        <f t="shared" si="36"/>
        <v>6.2678415578087834E-4</v>
      </c>
      <c r="P182" s="44"/>
      <c r="Q182" s="49"/>
      <c r="R182" s="85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4"/>
      <c r="AI182" s="44"/>
      <c r="AJ182" s="44"/>
    </row>
    <row r="183" spans="1:36" x14ac:dyDescent="0.25">
      <c r="A183" s="94"/>
      <c r="B183" s="261">
        <v>13</v>
      </c>
      <c r="C183" s="261"/>
      <c r="D183" s="261"/>
      <c r="E183" s="261" t="s">
        <v>574</v>
      </c>
      <c r="F183" s="261"/>
      <c r="G183" s="278"/>
      <c r="H183" s="262"/>
      <c r="I183" s="261"/>
      <c r="J183" s="261"/>
      <c r="K183" s="261"/>
      <c r="L183" s="261"/>
      <c r="M183" s="261"/>
      <c r="N183" s="263">
        <f>N184</f>
        <v>15753.87</v>
      </c>
      <c r="O183" s="264">
        <f>N183/$N$472</f>
        <v>6.8717864532243786E-3</v>
      </c>
      <c r="P183" s="44"/>
      <c r="Q183" s="49"/>
      <c r="R183" s="85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4"/>
      <c r="AI183" s="44"/>
      <c r="AJ183" s="44"/>
    </row>
    <row r="184" spans="1:36" ht="27.6" customHeight="1" x14ac:dyDescent="0.25">
      <c r="A184" s="94"/>
      <c r="B184" s="265" t="s">
        <v>245</v>
      </c>
      <c r="C184" s="266" t="s">
        <v>1461</v>
      </c>
      <c r="D184" s="265" t="s">
        <v>200</v>
      </c>
      <c r="E184" s="265" t="s">
        <v>1462</v>
      </c>
      <c r="F184" s="267" t="s">
        <v>41</v>
      </c>
      <c r="G184" s="279">
        <v>13.42</v>
      </c>
      <c r="H184" s="268">
        <v>940.03</v>
      </c>
      <c r="I184" s="268">
        <f>87.04*1.2488</f>
        <v>108.69555200000001</v>
      </c>
      <c r="J184" s="268">
        <f>852.99*1.2488</f>
        <v>1065.2139119999999</v>
      </c>
      <c r="K184" s="268">
        <f>I184+J184</f>
        <v>1173.9094639999998</v>
      </c>
      <c r="L184" s="268">
        <f>G184*I184</f>
        <v>1458.69430784</v>
      </c>
      <c r="M184" s="268">
        <f>G184*J184</f>
        <v>14295.17069904</v>
      </c>
      <c r="N184" s="268">
        <v>15753.87</v>
      </c>
      <c r="O184" s="269">
        <f t="shared" ref="O184:O247" si="42">N184/$N$472</f>
        <v>6.8717864532243786E-3</v>
      </c>
      <c r="P184" s="44"/>
      <c r="Q184" s="49"/>
      <c r="R184" s="85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4"/>
      <c r="AI184" s="44"/>
      <c r="AJ184" s="44"/>
    </row>
    <row r="185" spans="1:36" x14ac:dyDescent="0.25">
      <c r="A185" s="94"/>
      <c r="B185" s="261">
        <v>14</v>
      </c>
      <c r="C185" s="261"/>
      <c r="D185" s="261"/>
      <c r="E185" s="261" t="s">
        <v>575</v>
      </c>
      <c r="F185" s="261"/>
      <c r="G185" s="278"/>
      <c r="H185" s="262"/>
      <c r="I185" s="261"/>
      <c r="J185" s="261"/>
      <c r="K185" s="261"/>
      <c r="L185" s="261"/>
      <c r="M185" s="261"/>
      <c r="N185" s="263">
        <f>N186+N188+N196</f>
        <v>52369.226487999986</v>
      </c>
      <c r="O185" s="264">
        <f>N185/$N$472</f>
        <v>2.2843284929104885E-2</v>
      </c>
      <c r="P185" s="44"/>
      <c r="Q185" s="49"/>
      <c r="R185" s="85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4"/>
      <c r="AI185" s="44"/>
      <c r="AJ185" s="44"/>
    </row>
    <row r="186" spans="1:36" x14ac:dyDescent="0.25">
      <c r="A186" s="94"/>
      <c r="B186" s="261" t="s">
        <v>252</v>
      </c>
      <c r="C186" s="261"/>
      <c r="D186" s="261"/>
      <c r="E186" s="261" t="s">
        <v>576</v>
      </c>
      <c r="F186" s="261"/>
      <c r="G186" s="278"/>
      <c r="H186" s="262"/>
      <c r="I186" s="261"/>
      <c r="J186" s="261"/>
      <c r="K186" s="261"/>
      <c r="L186" s="261"/>
      <c r="M186" s="261"/>
      <c r="N186" s="263">
        <f>SUM(N187)</f>
        <v>267.33999999999997</v>
      </c>
      <c r="O186" s="264">
        <f>N186/$N$472</f>
        <v>1.1661283166644165E-4</v>
      </c>
      <c r="P186" s="44"/>
      <c r="Q186" s="49"/>
      <c r="R186" s="124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4"/>
      <c r="AI186" s="44"/>
      <c r="AJ186" s="44"/>
    </row>
    <row r="187" spans="1:36" x14ac:dyDescent="0.25">
      <c r="A187" s="94"/>
      <c r="B187" s="265" t="s">
        <v>1015</v>
      </c>
      <c r="C187" s="266" t="s">
        <v>255</v>
      </c>
      <c r="D187" s="265" t="s">
        <v>40</v>
      </c>
      <c r="E187" s="265" t="s">
        <v>1016</v>
      </c>
      <c r="F187" s="267" t="s">
        <v>43</v>
      </c>
      <c r="G187" s="279">
        <v>2</v>
      </c>
      <c r="H187" s="268">
        <v>107.04</v>
      </c>
      <c r="I187" s="268">
        <f>16.05*1.2488</f>
        <v>20.043240000000001</v>
      </c>
      <c r="J187" s="268">
        <f>90.99*1.2488</f>
        <v>113.62831199999998</v>
      </c>
      <c r="K187" s="268">
        <f>I187+J187</f>
        <v>133.67155199999999</v>
      </c>
      <c r="L187" s="268">
        <f>G187*I187</f>
        <v>40.086480000000002</v>
      </c>
      <c r="M187" s="268">
        <f>G187*J187</f>
        <v>227.25662399999996</v>
      </c>
      <c r="N187" s="268">
        <v>267.33999999999997</v>
      </c>
      <c r="O187" s="269">
        <f t="shared" si="42"/>
        <v>1.1661283166644165E-4</v>
      </c>
      <c r="P187" s="44"/>
      <c r="Q187" s="49"/>
      <c r="R187" s="124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4"/>
      <c r="AI187" s="44"/>
      <c r="AJ187" s="44"/>
    </row>
    <row r="188" spans="1:36" x14ac:dyDescent="0.25">
      <c r="A188" s="94"/>
      <c r="B188" s="261" t="s">
        <v>893</v>
      </c>
      <c r="C188" s="261"/>
      <c r="D188" s="261"/>
      <c r="E188" s="261" t="s">
        <v>582</v>
      </c>
      <c r="F188" s="261"/>
      <c r="G188" s="278"/>
      <c r="H188" s="262"/>
      <c r="I188" s="261"/>
      <c r="J188" s="261"/>
      <c r="K188" s="261"/>
      <c r="L188" s="261"/>
      <c r="M188" s="261"/>
      <c r="N188" s="263">
        <f>SUM(N189:N195)</f>
        <v>15025.101759999998</v>
      </c>
      <c r="O188" s="264">
        <f>N188/$N$472</f>
        <v>6.5539001358196911E-3</v>
      </c>
      <c r="P188" s="44"/>
      <c r="Q188" s="49"/>
      <c r="R188" s="124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4"/>
      <c r="AI188" s="44"/>
      <c r="AJ188" s="44"/>
    </row>
    <row r="189" spans="1:36" ht="27.6" x14ac:dyDescent="0.25">
      <c r="A189" s="94"/>
      <c r="B189" s="265" t="s">
        <v>1017</v>
      </c>
      <c r="C189" s="266" t="s">
        <v>253</v>
      </c>
      <c r="D189" s="265" t="s">
        <v>40</v>
      </c>
      <c r="E189" s="265" t="s">
        <v>254</v>
      </c>
      <c r="F189" s="267" t="s">
        <v>43</v>
      </c>
      <c r="G189" s="279">
        <v>6</v>
      </c>
      <c r="H189" s="268">
        <v>524.27</v>
      </c>
      <c r="I189" s="268">
        <f>37.49*1.2488</f>
        <v>46.817512000000001</v>
      </c>
      <c r="J189" s="268">
        <f>486.78*1.2488</f>
        <v>607.89086399999997</v>
      </c>
      <c r="K189" s="268">
        <f t="shared" ref="K189:K195" si="43">I189+J189</f>
        <v>654.70837599999993</v>
      </c>
      <c r="L189" s="268">
        <f t="shared" ref="L189:L195" si="44">G189*I189</f>
        <v>280.90507200000002</v>
      </c>
      <c r="M189" s="268">
        <f t="shared" ref="M189:M195" si="45">G189*J189</f>
        <v>3647.3451839999998</v>
      </c>
      <c r="N189" s="268">
        <v>3928.26</v>
      </c>
      <c r="O189" s="269">
        <f t="shared" si="42"/>
        <v>1.713494135266014E-3</v>
      </c>
      <c r="P189" s="44"/>
      <c r="Q189" s="49"/>
      <c r="R189" s="124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4"/>
      <c r="AI189" s="44"/>
      <c r="AJ189" s="44"/>
    </row>
    <row r="190" spans="1:36" x14ac:dyDescent="0.25">
      <c r="A190" s="94"/>
      <c r="B190" s="265" t="s">
        <v>1018</v>
      </c>
      <c r="C190" s="266" t="s">
        <v>854</v>
      </c>
      <c r="D190" s="265" t="s">
        <v>200</v>
      </c>
      <c r="E190" s="265" t="s">
        <v>1019</v>
      </c>
      <c r="F190" s="267" t="s">
        <v>165</v>
      </c>
      <c r="G190" s="279">
        <v>1</v>
      </c>
      <c r="H190" s="268">
        <v>1074.0999999999999</v>
      </c>
      <c r="I190" s="268">
        <f>74.1*1.2488</f>
        <v>92.536079999999984</v>
      </c>
      <c r="J190" s="268">
        <f>1000*1.2488</f>
        <v>1248.8</v>
      </c>
      <c r="K190" s="268">
        <f t="shared" si="43"/>
        <v>1341.33608</v>
      </c>
      <c r="L190" s="268">
        <f t="shared" si="44"/>
        <v>92.536079999999984</v>
      </c>
      <c r="M190" s="268">
        <f t="shared" si="45"/>
        <v>1248.8</v>
      </c>
      <c r="N190" s="268">
        <f t="shared" ref="N190:N193" si="46">L190+M190</f>
        <v>1341.33608</v>
      </c>
      <c r="O190" s="269">
        <f t="shared" si="42"/>
        <v>5.8508640123125879E-4</v>
      </c>
      <c r="P190" s="44"/>
      <c r="Q190" s="49"/>
      <c r="R190" s="124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4"/>
      <c r="AI190" s="44"/>
      <c r="AJ190" s="44"/>
    </row>
    <row r="191" spans="1:36" ht="41.4" x14ac:dyDescent="0.25">
      <c r="A191" s="94"/>
      <c r="B191" s="265" t="s">
        <v>1020</v>
      </c>
      <c r="C191" s="266" t="s">
        <v>855</v>
      </c>
      <c r="D191" s="265" t="s">
        <v>40</v>
      </c>
      <c r="E191" s="265" t="s">
        <v>856</v>
      </c>
      <c r="F191" s="267" t="s">
        <v>43</v>
      </c>
      <c r="G191" s="279">
        <v>13</v>
      </c>
      <c r="H191" s="268">
        <v>422.25</v>
      </c>
      <c r="I191" s="268">
        <f>51.41*1.2488</f>
        <v>64.200807999999995</v>
      </c>
      <c r="J191" s="268">
        <f>370.84*1.2488</f>
        <v>463.10499199999992</v>
      </c>
      <c r="K191" s="268">
        <f t="shared" si="43"/>
        <v>527.30579999999986</v>
      </c>
      <c r="L191" s="268">
        <f t="shared" si="44"/>
        <v>834.61050399999999</v>
      </c>
      <c r="M191" s="268">
        <f t="shared" si="45"/>
        <v>6020.3648959999991</v>
      </c>
      <c r="N191" s="268">
        <v>6855.03</v>
      </c>
      <c r="O191" s="269">
        <f t="shared" si="42"/>
        <v>2.9901416153901681E-3</v>
      </c>
      <c r="P191" s="44"/>
      <c r="Q191" s="49"/>
      <c r="R191" s="124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4"/>
      <c r="AI191" s="44"/>
      <c r="AJ191" s="44"/>
    </row>
    <row r="192" spans="1:36" ht="41.4" x14ac:dyDescent="0.25">
      <c r="A192" s="94"/>
      <c r="B192" s="265" t="s">
        <v>1021</v>
      </c>
      <c r="C192" s="266" t="s">
        <v>256</v>
      </c>
      <c r="D192" s="265" t="s">
        <v>40</v>
      </c>
      <c r="E192" s="265" t="s">
        <v>257</v>
      </c>
      <c r="F192" s="267" t="s">
        <v>43</v>
      </c>
      <c r="G192" s="279">
        <v>1</v>
      </c>
      <c r="H192" s="268">
        <v>875.56</v>
      </c>
      <c r="I192" s="268">
        <f>81.5*1.2488</f>
        <v>101.77719999999999</v>
      </c>
      <c r="J192" s="268">
        <f>794.06*1.2488</f>
        <v>991.62212799999986</v>
      </c>
      <c r="K192" s="268">
        <f t="shared" si="43"/>
        <v>1093.399328</v>
      </c>
      <c r="L192" s="268">
        <f t="shared" si="44"/>
        <v>101.77719999999999</v>
      </c>
      <c r="M192" s="268">
        <f t="shared" si="45"/>
        <v>991.62212799999986</v>
      </c>
      <c r="N192" s="268">
        <f t="shared" si="46"/>
        <v>1093.399328</v>
      </c>
      <c r="O192" s="269">
        <f t="shared" si="42"/>
        <v>4.7693720273907545E-4</v>
      </c>
      <c r="P192" s="44"/>
      <c r="Q192" s="49"/>
      <c r="R192" s="124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4"/>
      <c r="AI192" s="44"/>
      <c r="AJ192" s="44"/>
    </row>
    <row r="193" spans="1:36" x14ac:dyDescent="0.25">
      <c r="A193" s="94"/>
      <c r="B193" s="265" t="s">
        <v>1022</v>
      </c>
      <c r="C193" s="266" t="s">
        <v>1463</v>
      </c>
      <c r="D193" s="265" t="s">
        <v>200</v>
      </c>
      <c r="E193" s="265" t="s">
        <v>1464</v>
      </c>
      <c r="F193" s="267" t="s">
        <v>43</v>
      </c>
      <c r="G193" s="279">
        <v>1</v>
      </c>
      <c r="H193" s="268">
        <v>240.54</v>
      </c>
      <c r="I193" s="268">
        <f>26.34*1.2488</f>
        <v>32.893391999999999</v>
      </c>
      <c r="J193" s="268">
        <f>214.2*1.2488</f>
        <v>267.49295999999998</v>
      </c>
      <c r="K193" s="268">
        <f t="shared" si="43"/>
        <v>300.38635199999999</v>
      </c>
      <c r="L193" s="268">
        <f t="shared" si="44"/>
        <v>32.893391999999999</v>
      </c>
      <c r="M193" s="268">
        <f t="shared" si="45"/>
        <v>267.49295999999998</v>
      </c>
      <c r="N193" s="268">
        <f t="shared" si="46"/>
        <v>300.38635199999999</v>
      </c>
      <c r="O193" s="269">
        <f t="shared" si="42"/>
        <v>1.3102754208376034E-4</v>
      </c>
      <c r="P193" s="44"/>
      <c r="Q193" s="49"/>
      <c r="R193" s="124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4"/>
      <c r="AI193" s="44"/>
      <c r="AJ193" s="44"/>
    </row>
    <row r="194" spans="1:36" ht="27.6" x14ac:dyDescent="0.25">
      <c r="A194" s="94"/>
      <c r="B194" s="265" t="s">
        <v>1023</v>
      </c>
      <c r="C194" s="266" t="s">
        <v>944</v>
      </c>
      <c r="D194" s="265" t="s">
        <v>40</v>
      </c>
      <c r="E194" s="265" t="s">
        <v>945</v>
      </c>
      <c r="F194" s="267" t="s">
        <v>43</v>
      </c>
      <c r="G194" s="279">
        <v>3</v>
      </c>
      <c r="H194" s="268">
        <v>148.41999999999999</v>
      </c>
      <c r="I194" s="268">
        <f>27.52*1.2488</f>
        <v>34.366975999999994</v>
      </c>
      <c r="J194" s="268">
        <f>120.9*1.2488</f>
        <v>150.97991999999999</v>
      </c>
      <c r="K194" s="268">
        <f t="shared" si="43"/>
        <v>185.34689599999999</v>
      </c>
      <c r="L194" s="268">
        <f t="shared" si="44"/>
        <v>103.10092799999998</v>
      </c>
      <c r="M194" s="268">
        <f t="shared" si="45"/>
        <v>452.93975999999998</v>
      </c>
      <c r="N194" s="268">
        <v>556.04999999999995</v>
      </c>
      <c r="O194" s="269">
        <f t="shared" si="42"/>
        <v>2.4254718728257979E-4</v>
      </c>
      <c r="P194" s="44"/>
      <c r="Q194" s="49"/>
      <c r="R194" s="124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4"/>
      <c r="AI194" s="44"/>
      <c r="AJ194" s="44"/>
    </row>
    <row r="195" spans="1:36" x14ac:dyDescent="0.25">
      <c r="A195" s="94"/>
      <c r="B195" s="265" t="s">
        <v>1024</v>
      </c>
      <c r="C195" s="266" t="s">
        <v>946</v>
      </c>
      <c r="D195" s="265" t="s">
        <v>200</v>
      </c>
      <c r="E195" s="265" t="s">
        <v>947</v>
      </c>
      <c r="F195" s="267" t="s">
        <v>165</v>
      </c>
      <c r="G195" s="279">
        <v>6</v>
      </c>
      <c r="H195" s="268">
        <v>126.87</v>
      </c>
      <c r="I195" s="268">
        <f>26.34*1.2488</f>
        <v>32.893391999999999</v>
      </c>
      <c r="J195" s="268">
        <f>100.53*1.2488</f>
        <v>125.54186399999999</v>
      </c>
      <c r="K195" s="268">
        <f t="shared" si="43"/>
        <v>158.43525599999998</v>
      </c>
      <c r="L195" s="268">
        <f t="shared" si="44"/>
        <v>197.36035199999998</v>
      </c>
      <c r="M195" s="268">
        <f t="shared" si="45"/>
        <v>753.25118399999997</v>
      </c>
      <c r="N195" s="268">
        <v>950.64</v>
      </c>
      <c r="O195" s="269">
        <f t="shared" si="42"/>
        <v>4.1466605182683514E-4</v>
      </c>
      <c r="P195" s="44"/>
      <c r="Q195" s="49"/>
      <c r="R195" s="124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4"/>
      <c r="AI195" s="44"/>
      <c r="AJ195" s="44"/>
    </row>
    <row r="196" spans="1:36" x14ac:dyDescent="0.25">
      <c r="A196" s="94"/>
      <c r="B196" s="261" t="s">
        <v>1025</v>
      </c>
      <c r="C196" s="261"/>
      <c r="D196" s="261"/>
      <c r="E196" s="261" t="s">
        <v>857</v>
      </c>
      <c r="F196" s="261"/>
      <c r="G196" s="278"/>
      <c r="H196" s="262"/>
      <c r="I196" s="261"/>
      <c r="J196" s="261"/>
      <c r="K196" s="261"/>
      <c r="L196" s="261"/>
      <c r="M196" s="261"/>
      <c r="N196" s="263">
        <f>SUM(N197:N210)</f>
        <v>37076.784727999991</v>
      </c>
      <c r="O196" s="264">
        <f>N196/$N$472</f>
        <v>1.6172771961618756E-2</v>
      </c>
      <c r="P196" s="44"/>
      <c r="Q196" s="49"/>
      <c r="R196" s="85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4"/>
      <c r="AI196" s="44"/>
      <c r="AJ196" s="44"/>
    </row>
    <row r="197" spans="1:36" x14ac:dyDescent="0.25">
      <c r="A197" s="94"/>
      <c r="B197" s="265" t="s">
        <v>1026</v>
      </c>
      <c r="C197" s="266" t="s">
        <v>858</v>
      </c>
      <c r="D197" s="265" t="s">
        <v>200</v>
      </c>
      <c r="E197" s="265" t="s">
        <v>859</v>
      </c>
      <c r="F197" s="267" t="s">
        <v>41</v>
      </c>
      <c r="G197" s="279">
        <v>7.14</v>
      </c>
      <c r="H197" s="268">
        <v>1358.8</v>
      </c>
      <c r="I197" s="268">
        <f>192.51*1.2488</f>
        <v>240.40648799999997</v>
      </c>
      <c r="J197" s="268">
        <f>1166.29*1.2488</f>
        <v>1456.4629519999999</v>
      </c>
      <c r="K197" s="268">
        <f>I197+J197</f>
        <v>1696.8694399999999</v>
      </c>
      <c r="L197" s="268">
        <f>G197*I197</f>
        <v>1716.5023243199996</v>
      </c>
      <c r="M197" s="268">
        <f>G197*J197</f>
        <v>10399.145477279999</v>
      </c>
      <c r="N197" s="268">
        <v>12115.65</v>
      </c>
      <c r="O197" s="269">
        <f t="shared" si="42"/>
        <v>5.2848068152147971E-3</v>
      </c>
      <c r="P197" s="44"/>
      <c r="Q197" s="49"/>
      <c r="R197" s="85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4"/>
      <c r="AI197" s="44"/>
      <c r="AJ197" s="44"/>
    </row>
    <row r="198" spans="1:36" x14ac:dyDescent="0.25">
      <c r="A198" s="94"/>
      <c r="B198" s="265" t="s">
        <v>1027</v>
      </c>
      <c r="C198" s="266" t="s">
        <v>860</v>
      </c>
      <c r="D198" s="265" t="s">
        <v>144</v>
      </c>
      <c r="E198" s="265" t="s">
        <v>861</v>
      </c>
      <c r="F198" s="267" t="s">
        <v>165</v>
      </c>
      <c r="G198" s="279">
        <v>1</v>
      </c>
      <c r="H198" s="268">
        <v>2408</v>
      </c>
      <c r="I198" s="268">
        <f>8.13*1.2488</f>
        <v>10.152744</v>
      </c>
      <c r="J198" s="268">
        <f>2401.59*1.2488</f>
        <v>2999.1055919999999</v>
      </c>
      <c r="K198" s="268">
        <f>I198+J198</f>
        <v>3009.2583359999999</v>
      </c>
      <c r="L198" s="268">
        <f>G198*I198</f>
        <v>10.152744</v>
      </c>
      <c r="M198" s="268">
        <f>G198*J198</f>
        <v>2999.1055919999999</v>
      </c>
      <c r="N198" s="268">
        <f>L198+M198</f>
        <v>3009.2583359999999</v>
      </c>
      <c r="O198" s="269">
        <f t="shared" si="42"/>
        <v>1.3126286218927371E-3</v>
      </c>
      <c r="P198" s="44"/>
      <c r="Q198" s="49"/>
      <c r="R198" s="85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4"/>
      <c r="AI198" s="44"/>
      <c r="AJ198" s="44"/>
    </row>
    <row r="199" spans="1:36" ht="27.6" x14ac:dyDescent="0.25">
      <c r="A199" s="94"/>
      <c r="B199" s="265" t="s">
        <v>1028</v>
      </c>
      <c r="C199" s="266" t="s">
        <v>1029</v>
      </c>
      <c r="D199" s="265" t="s">
        <v>40</v>
      </c>
      <c r="E199" s="265" t="s">
        <v>1030</v>
      </c>
      <c r="F199" s="267" t="s">
        <v>43</v>
      </c>
      <c r="G199" s="279">
        <v>6</v>
      </c>
      <c r="H199" s="268">
        <v>273.68</v>
      </c>
      <c r="I199" s="268">
        <f>24.77*1.2488</f>
        <v>30.932775999999997</v>
      </c>
      <c r="J199" s="268">
        <f>248.91*1.2488</f>
        <v>310.83880799999997</v>
      </c>
      <c r="K199" s="268">
        <f t="shared" ref="K199:K209" si="47">I199+J199</f>
        <v>341.77158399999996</v>
      </c>
      <c r="L199" s="268">
        <f t="shared" ref="L199:L209" si="48">G199*I199</f>
        <v>185.596656</v>
      </c>
      <c r="M199" s="268">
        <f t="shared" ref="M199:M209" si="49">G199*J199</f>
        <v>1865.0328479999998</v>
      </c>
      <c r="N199" s="268">
        <v>2050.62</v>
      </c>
      <c r="O199" s="269">
        <f t="shared" si="42"/>
        <v>8.9447372212103908E-4</v>
      </c>
      <c r="P199" s="44"/>
      <c r="Q199" s="49"/>
      <c r="R199" s="124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4"/>
      <c r="AI199" s="44"/>
      <c r="AJ199" s="44"/>
    </row>
    <row r="200" spans="1:36" ht="27.6" x14ac:dyDescent="0.25">
      <c r="A200" s="94"/>
      <c r="B200" s="265" t="s">
        <v>1031</v>
      </c>
      <c r="C200" s="266" t="s">
        <v>160</v>
      </c>
      <c r="D200" s="265" t="s">
        <v>40</v>
      </c>
      <c r="E200" s="265" t="s">
        <v>1032</v>
      </c>
      <c r="F200" s="267" t="s">
        <v>43</v>
      </c>
      <c r="G200" s="279">
        <v>5</v>
      </c>
      <c r="H200" s="268">
        <v>52.28</v>
      </c>
      <c r="I200" s="268">
        <f>5.46*1.2488</f>
        <v>6.8184479999999992</v>
      </c>
      <c r="J200" s="268">
        <f>46.82*1.2488</f>
        <v>58.468815999999997</v>
      </c>
      <c r="K200" s="268">
        <f t="shared" si="47"/>
        <v>65.287263999999993</v>
      </c>
      <c r="L200" s="268">
        <f t="shared" si="48"/>
        <v>34.092239999999997</v>
      </c>
      <c r="M200" s="268">
        <f t="shared" si="49"/>
        <v>292.34407999999996</v>
      </c>
      <c r="N200" s="268">
        <v>326.45</v>
      </c>
      <c r="O200" s="269">
        <f t="shared" si="42"/>
        <v>1.4239641990540091E-4</v>
      </c>
      <c r="P200" s="44"/>
      <c r="Q200" s="49"/>
      <c r="R200" s="124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4"/>
      <c r="AI200" s="44"/>
      <c r="AJ200" s="44"/>
    </row>
    <row r="201" spans="1:36" x14ac:dyDescent="0.25">
      <c r="A201" s="94"/>
      <c r="B201" s="265" t="s">
        <v>1033</v>
      </c>
      <c r="C201" s="266" t="s">
        <v>579</v>
      </c>
      <c r="D201" s="265" t="s">
        <v>200</v>
      </c>
      <c r="E201" s="265" t="s">
        <v>781</v>
      </c>
      <c r="F201" s="267" t="s">
        <v>165</v>
      </c>
      <c r="G201" s="279">
        <v>2</v>
      </c>
      <c r="H201" s="268">
        <v>346.86</v>
      </c>
      <c r="I201" s="268">
        <f>20.09*1.2488</f>
        <v>25.088391999999999</v>
      </c>
      <c r="J201" s="268">
        <f>326.77*1.2488</f>
        <v>408.07037599999995</v>
      </c>
      <c r="K201" s="268">
        <f t="shared" si="47"/>
        <v>433.15876799999995</v>
      </c>
      <c r="L201" s="268">
        <f t="shared" si="48"/>
        <v>50.176783999999998</v>
      </c>
      <c r="M201" s="268">
        <f t="shared" si="49"/>
        <v>816.14075199999991</v>
      </c>
      <c r="N201" s="268">
        <f t="shared" ref="N201:N204" si="50">L201+M201</f>
        <v>866.3175359999999</v>
      </c>
      <c r="O201" s="269">
        <f t="shared" si="42"/>
        <v>3.7788486943687627E-4</v>
      </c>
      <c r="P201" s="44"/>
      <c r="Q201" s="49"/>
      <c r="R201" s="124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4"/>
      <c r="AI201" s="44"/>
      <c r="AJ201" s="44"/>
    </row>
    <row r="202" spans="1:36" x14ac:dyDescent="0.25">
      <c r="A202" s="94"/>
      <c r="B202" s="265" t="s">
        <v>1034</v>
      </c>
      <c r="C202" s="266" t="s">
        <v>862</v>
      </c>
      <c r="D202" s="265" t="s">
        <v>200</v>
      </c>
      <c r="E202" s="265" t="s">
        <v>863</v>
      </c>
      <c r="F202" s="267" t="s">
        <v>43</v>
      </c>
      <c r="G202" s="279">
        <v>6</v>
      </c>
      <c r="H202" s="268">
        <v>360.65</v>
      </c>
      <c r="I202" s="268">
        <f>73.74*1.2488</f>
        <v>92.086511999999985</v>
      </c>
      <c r="J202" s="268">
        <f>286.91*1.2488</f>
        <v>358.29320799999999</v>
      </c>
      <c r="K202" s="268">
        <f t="shared" si="47"/>
        <v>450.37971999999996</v>
      </c>
      <c r="L202" s="268">
        <f t="shared" si="48"/>
        <v>552.51907199999994</v>
      </c>
      <c r="M202" s="268">
        <f t="shared" si="49"/>
        <v>2149.7592479999998</v>
      </c>
      <c r="N202" s="268">
        <f t="shared" si="50"/>
        <v>2702.2783199999999</v>
      </c>
      <c r="O202" s="269">
        <f t="shared" si="42"/>
        <v>1.1787249451860357E-3</v>
      </c>
      <c r="P202" s="44"/>
      <c r="Q202" s="49"/>
      <c r="R202" s="124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4"/>
      <c r="AI202" s="44"/>
      <c r="AJ202" s="44"/>
    </row>
    <row r="203" spans="1:36" x14ac:dyDescent="0.25">
      <c r="A203" s="94"/>
      <c r="B203" s="265" t="s">
        <v>1035</v>
      </c>
      <c r="C203" s="266" t="s">
        <v>1465</v>
      </c>
      <c r="D203" s="265" t="s">
        <v>200</v>
      </c>
      <c r="E203" s="265" t="s">
        <v>1466</v>
      </c>
      <c r="F203" s="267" t="s">
        <v>165</v>
      </c>
      <c r="G203" s="279">
        <v>22</v>
      </c>
      <c r="H203" s="268">
        <v>151.93</v>
      </c>
      <c r="I203" s="268">
        <f>20.09*1.2488</f>
        <v>25.088391999999999</v>
      </c>
      <c r="J203" s="268">
        <f>131.87*1.2488</f>
        <v>164.67925599999998</v>
      </c>
      <c r="K203" s="268">
        <f t="shared" si="47"/>
        <v>189.76764799999998</v>
      </c>
      <c r="L203" s="268">
        <f t="shared" si="48"/>
        <v>551.94462399999998</v>
      </c>
      <c r="M203" s="268">
        <f t="shared" si="49"/>
        <v>3622.9436319999995</v>
      </c>
      <c r="N203" s="268">
        <v>4174.9399999999996</v>
      </c>
      <c r="O203" s="269">
        <f t="shared" si="42"/>
        <v>1.8210951426553973E-3</v>
      </c>
      <c r="P203" s="44"/>
      <c r="Q203" s="49"/>
      <c r="R203" s="85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4"/>
      <c r="AI203" s="44"/>
      <c r="AJ203" s="44"/>
    </row>
    <row r="204" spans="1:36" ht="27.6" x14ac:dyDescent="0.25">
      <c r="A204" s="94"/>
      <c r="B204" s="265" t="s">
        <v>1036</v>
      </c>
      <c r="C204" s="266" t="s">
        <v>1467</v>
      </c>
      <c r="D204" s="265" t="s">
        <v>200</v>
      </c>
      <c r="E204" s="265" t="s">
        <v>1468</v>
      </c>
      <c r="F204" s="267" t="s">
        <v>165</v>
      </c>
      <c r="G204" s="279">
        <v>1</v>
      </c>
      <c r="H204" s="268">
        <v>697.47</v>
      </c>
      <c r="I204" s="268">
        <f>20.09*1.2488</f>
        <v>25.088391999999999</v>
      </c>
      <c r="J204" s="268">
        <f>677.38*1.2488</f>
        <v>845.9121439999999</v>
      </c>
      <c r="K204" s="268">
        <f t="shared" si="47"/>
        <v>871.0005359999999</v>
      </c>
      <c r="L204" s="268">
        <f t="shared" si="48"/>
        <v>25.088391999999999</v>
      </c>
      <c r="M204" s="268">
        <f t="shared" si="49"/>
        <v>845.9121439999999</v>
      </c>
      <c r="N204" s="268">
        <f t="shared" si="50"/>
        <v>871.0005359999999</v>
      </c>
      <c r="O204" s="269">
        <f t="shared" si="42"/>
        <v>3.799275786861242E-4</v>
      </c>
      <c r="P204" s="44"/>
      <c r="Q204" s="49"/>
      <c r="R204" s="85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4"/>
      <c r="AI204" s="44"/>
      <c r="AJ204" s="44"/>
    </row>
    <row r="205" spans="1:36" x14ac:dyDescent="0.25">
      <c r="A205" s="94"/>
      <c r="B205" s="265" t="s">
        <v>1037</v>
      </c>
      <c r="C205" s="266" t="s">
        <v>1469</v>
      </c>
      <c r="D205" s="265" t="s">
        <v>200</v>
      </c>
      <c r="E205" s="265" t="s">
        <v>1470</v>
      </c>
      <c r="F205" s="267" t="s">
        <v>165</v>
      </c>
      <c r="G205" s="279">
        <v>6</v>
      </c>
      <c r="H205" s="268">
        <v>238.57</v>
      </c>
      <c r="I205" s="268">
        <f>26.34*1.2488</f>
        <v>32.893391999999999</v>
      </c>
      <c r="J205" s="268">
        <f>212.23*1.2488</f>
        <v>265.03282399999995</v>
      </c>
      <c r="K205" s="268">
        <f t="shared" si="47"/>
        <v>297.92621599999995</v>
      </c>
      <c r="L205" s="268">
        <f t="shared" si="48"/>
        <v>197.36035199999998</v>
      </c>
      <c r="M205" s="268">
        <f t="shared" si="49"/>
        <v>1590.1969439999998</v>
      </c>
      <c r="N205" s="268">
        <v>1787.58</v>
      </c>
      <c r="O205" s="269">
        <f t="shared" si="42"/>
        <v>7.7973653635930945E-4</v>
      </c>
      <c r="P205" s="44"/>
      <c r="Q205" s="49"/>
      <c r="R205" s="124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4"/>
      <c r="AI205" s="44"/>
      <c r="AJ205" s="44"/>
    </row>
    <row r="206" spans="1:36" ht="27.6" x14ac:dyDescent="0.25">
      <c r="A206" s="94"/>
      <c r="B206" s="265" t="s">
        <v>1038</v>
      </c>
      <c r="C206" s="266" t="s">
        <v>1471</v>
      </c>
      <c r="D206" s="265" t="s">
        <v>200</v>
      </c>
      <c r="E206" s="265" t="s">
        <v>1472</v>
      </c>
      <c r="F206" s="267" t="s">
        <v>165</v>
      </c>
      <c r="G206" s="279">
        <v>8</v>
      </c>
      <c r="H206" s="268">
        <v>162.07</v>
      </c>
      <c r="I206" s="268">
        <f>14.26*1.2488</f>
        <v>17.807887999999998</v>
      </c>
      <c r="J206" s="268">
        <f>147.81*1.2488</f>
        <v>184.585128</v>
      </c>
      <c r="K206" s="268">
        <f t="shared" si="47"/>
        <v>202.39301599999999</v>
      </c>
      <c r="L206" s="268">
        <f t="shared" si="48"/>
        <v>142.46310399999999</v>
      </c>
      <c r="M206" s="268">
        <f t="shared" si="49"/>
        <v>1476.681024</v>
      </c>
      <c r="N206" s="268">
        <v>1619.12</v>
      </c>
      <c r="O206" s="269">
        <f t="shared" si="42"/>
        <v>7.0625483656680261E-4</v>
      </c>
      <c r="P206" s="44"/>
      <c r="Q206" s="49"/>
      <c r="R206" s="124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4"/>
      <c r="AI206" s="44"/>
      <c r="AJ206" s="44"/>
    </row>
    <row r="207" spans="1:36" ht="27.6" x14ac:dyDescent="0.25">
      <c r="A207" s="94"/>
      <c r="B207" s="265" t="s">
        <v>1039</v>
      </c>
      <c r="C207" s="266" t="s">
        <v>1453</v>
      </c>
      <c r="D207" s="265" t="s">
        <v>200</v>
      </c>
      <c r="E207" s="265" t="s">
        <v>1473</v>
      </c>
      <c r="F207" s="267" t="s">
        <v>165</v>
      </c>
      <c r="G207" s="279">
        <v>8</v>
      </c>
      <c r="H207" s="268">
        <v>150.63</v>
      </c>
      <c r="I207" s="268">
        <f>14.26*1.2488</f>
        <v>17.807887999999998</v>
      </c>
      <c r="J207" s="268">
        <f>136.37*1.2488</f>
        <v>170.298856</v>
      </c>
      <c r="K207" s="268">
        <f t="shared" si="47"/>
        <v>188.10674399999999</v>
      </c>
      <c r="L207" s="268">
        <f t="shared" si="48"/>
        <v>142.46310399999999</v>
      </c>
      <c r="M207" s="268">
        <f t="shared" si="49"/>
        <v>1362.390848</v>
      </c>
      <c r="N207" s="268">
        <v>1504.88</v>
      </c>
      <c r="O207" s="269">
        <f t="shared" si="42"/>
        <v>6.5642372304254787E-4</v>
      </c>
      <c r="P207" s="44"/>
      <c r="Q207" s="49"/>
      <c r="R207" s="124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4"/>
      <c r="AI207" s="44"/>
      <c r="AJ207" s="44"/>
    </row>
    <row r="208" spans="1:36" ht="27.6" x14ac:dyDescent="0.25">
      <c r="A208" s="94"/>
      <c r="B208" s="265" t="s">
        <v>1040</v>
      </c>
      <c r="C208" s="266" t="s">
        <v>266</v>
      </c>
      <c r="D208" s="265" t="s">
        <v>40</v>
      </c>
      <c r="E208" s="265" t="s">
        <v>267</v>
      </c>
      <c r="F208" s="267" t="s">
        <v>43</v>
      </c>
      <c r="G208" s="279">
        <v>4</v>
      </c>
      <c r="H208" s="268">
        <v>352.86</v>
      </c>
      <c r="I208" s="268">
        <f>34.06*1.2488</f>
        <v>42.534128000000003</v>
      </c>
      <c r="J208" s="268">
        <f>318.8*1.2488</f>
        <v>398.11743999999999</v>
      </c>
      <c r="K208" s="268">
        <f t="shared" si="47"/>
        <v>440.651568</v>
      </c>
      <c r="L208" s="268">
        <f t="shared" si="48"/>
        <v>170.13651200000001</v>
      </c>
      <c r="M208" s="268">
        <f t="shared" si="49"/>
        <v>1592.46976</v>
      </c>
      <c r="N208" s="268">
        <v>1762.6</v>
      </c>
      <c r="O208" s="269">
        <f t="shared" si="42"/>
        <v>7.688403422430989E-4</v>
      </c>
      <c r="P208" s="44"/>
      <c r="Q208" s="49"/>
      <c r="R208" s="124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4"/>
      <c r="AI208" s="44"/>
      <c r="AJ208" s="44"/>
    </row>
    <row r="209" spans="1:36" x14ac:dyDescent="0.25">
      <c r="A209" s="94"/>
      <c r="B209" s="265" t="s">
        <v>1041</v>
      </c>
      <c r="C209" s="266" t="s">
        <v>1474</v>
      </c>
      <c r="D209" s="265" t="s">
        <v>200</v>
      </c>
      <c r="E209" s="265" t="s">
        <v>1475</v>
      </c>
      <c r="F209" s="267" t="s">
        <v>43</v>
      </c>
      <c r="G209" s="279">
        <v>19</v>
      </c>
      <c r="H209" s="268">
        <v>85.32</v>
      </c>
      <c r="I209" s="268">
        <f>52.67*1.2488</f>
        <v>65.774295999999993</v>
      </c>
      <c r="J209" s="268">
        <f>32.65*1.2488</f>
        <v>40.773319999999998</v>
      </c>
      <c r="K209" s="268">
        <f t="shared" si="47"/>
        <v>106.54761599999999</v>
      </c>
      <c r="L209" s="268">
        <f t="shared" si="48"/>
        <v>1249.7116239999998</v>
      </c>
      <c r="M209" s="268">
        <f t="shared" si="49"/>
        <v>774.69308000000001</v>
      </c>
      <c r="N209" s="268">
        <v>2024.45</v>
      </c>
      <c r="O209" s="269">
        <f t="shared" si="42"/>
        <v>8.8305845390561767E-4</v>
      </c>
      <c r="P209" s="44"/>
      <c r="Q209" s="49"/>
      <c r="R209" s="124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4"/>
      <c r="AI209" s="44"/>
      <c r="AJ209" s="44"/>
    </row>
    <row r="210" spans="1:36" ht="41.4" x14ac:dyDescent="0.25">
      <c r="A210" s="94"/>
      <c r="B210" s="265" t="s">
        <v>1042</v>
      </c>
      <c r="C210" s="266" t="s">
        <v>894</v>
      </c>
      <c r="D210" s="265" t="s">
        <v>550</v>
      </c>
      <c r="E210" s="265" t="s">
        <v>1043</v>
      </c>
      <c r="F210" s="267" t="s">
        <v>43</v>
      </c>
      <c r="G210" s="279">
        <v>4</v>
      </c>
      <c r="H210" s="268">
        <v>452.76</v>
      </c>
      <c r="I210" s="268">
        <f>90.55*1.2488</f>
        <v>113.07883999999999</v>
      </c>
      <c r="J210" s="268">
        <f>362.21*1.2488</f>
        <v>452.32784799999996</v>
      </c>
      <c r="K210" s="268">
        <f t="shared" ref="K210" si="51">I210+J210</f>
        <v>565.40668799999992</v>
      </c>
      <c r="L210" s="268">
        <f t="shared" ref="L210" si="52">G210*I210</f>
        <v>452.31535999999994</v>
      </c>
      <c r="M210" s="268">
        <f t="shared" ref="M210" si="53">G210*J210</f>
        <v>1809.3113919999998</v>
      </c>
      <c r="N210" s="268">
        <v>2261.64</v>
      </c>
      <c r="O210" s="269">
        <f t="shared" si="42"/>
        <v>9.8651995440297412E-4</v>
      </c>
      <c r="P210" s="44"/>
      <c r="Q210" s="49"/>
      <c r="R210" s="124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4"/>
      <c r="AI210" s="44"/>
      <c r="AJ210" s="44"/>
    </row>
    <row r="211" spans="1:36" x14ac:dyDescent="0.25">
      <c r="A211" s="94"/>
      <c r="B211" s="261">
        <v>15</v>
      </c>
      <c r="C211" s="261"/>
      <c r="D211" s="261"/>
      <c r="E211" s="261" t="s">
        <v>584</v>
      </c>
      <c r="F211" s="261"/>
      <c r="G211" s="278"/>
      <c r="H211" s="262"/>
      <c r="I211" s="261"/>
      <c r="J211" s="261"/>
      <c r="K211" s="261"/>
      <c r="L211" s="261"/>
      <c r="M211" s="261"/>
      <c r="N211" s="263">
        <f>N212+N254+N293+N310</f>
        <v>175692.37807062399</v>
      </c>
      <c r="O211" s="264">
        <f>N211/$N$472</f>
        <v>7.6636439399365985E-2</v>
      </c>
      <c r="P211" s="44"/>
      <c r="Q211" s="49"/>
      <c r="R211" s="124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4"/>
      <c r="AI211" s="44"/>
      <c r="AJ211" s="44"/>
    </row>
    <row r="212" spans="1:36" x14ac:dyDescent="0.25">
      <c r="A212" s="94"/>
      <c r="B212" s="261" t="s">
        <v>262</v>
      </c>
      <c r="C212" s="261"/>
      <c r="D212" s="261"/>
      <c r="E212" s="261" t="s">
        <v>585</v>
      </c>
      <c r="F212" s="261"/>
      <c r="G212" s="278"/>
      <c r="H212" s="262"/>
      <c r="I212" s="261"/>
      <c r="J212" s="261"/>
      <c r="K212" s="261"/>
      <c r="L212" s="261"/>
      <c r="M212" s="261"/>
      <c r="N212" s="263">
        <f>SUM(N213:N253)</f>
        <v>64095.750558623993</v>
      </c>
      <c r="O212" s="264">
        <f>N212/$N$472</f>
        <v>2.7958356289470538E-2</v>
      </c>
      <c r="P212" s="44"/>
      <c r="Q212" s="49"/>
      <c r="R212" s="124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4"/>
      <c r="AI212" s="44"/>
      <c r="AJ212" s="44"/>
    </row>
    <row r="213" spans="1:36" ht="27.6" x14ac:dyDescent="0.25">
      <c r="A213" s="94"/>
      <c r="B213" s="265" t="s">
        <v>577</v>
      </c>
      <c r="C213" s="266">
        <v>97131</v>
      </c>
      <c r="D213" s="265" t="s">
        <v>40</v>
      </c>
      <c r="E213" s="265" t="s">
        <v>1565</v>
      </c>
      <c r="F213" s="267" t="s">
        <v>43</v>
      </c>
      <c r="G213" s="279">
        <v>1</v>
      </c>
      <c r="H213" s="268">
        <v>49.44</v>
      </c>
      <c r="I213" s="268">
        <f>28.13*1.2488</f>
        <v>35.128743999999998</v>
      </c>
      <c r="J213" s="268">
        <f>21.31*1.2488</f>
        <v>26.611927999999995</v>
      </c>
      <c r="K213" s="268">
        <f t="shared" ref="K213" si="54">I213+J213</f>
        <v>61.740671999999989</v>
      </c>
      <c r="L213" s="268">
        <f t="shared" ref="L213" si="55">G213*I213</f>
        <v>35.128743999999998</v>
      </c>
      <c r="M213" s="268">
        <f t="shared" ref="M213" si="56">G213*J213</f>
        <v>26.611927999999995</v>
      </c>
      <c r="N213" s="268">
        <f t="shared" ref="N213" si="57">L213+M213</f>
        <v>61.740671999999989</v>
      </c>
      <c r="O213" s="269">
        <f t="shared" si="42"/>
        <v>2.6931078742084935E-5</v>
      </c>
      <c r="P213" s="44"/>
      <c r="Q213" s="49"/>
      <c r="R213" s="124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4"/>
      <c r="AI213" s="44"/>
      <c r="AJ213" s="44"/>
    </row>
    <row r="214" spans="1:36" ht="15" customHeight="1" x14ac:dyDescent="0.25">
      <c r="A214" s="94"/>
      <c r="B214" s="265" t="s">
        <v>1159</v>
      </c>
      <c r="C214" s="266" t="s">
        <v>589</v>
      </c>
      <c r="D214" s="265" t="s">
        <v>40</v>
      </c>
      <c r="E214" s="265" t="s">
        <v>590</v>
      </c>
      <c r="F214" s="267" t="s">
        <v>43</v>
      </c>
      <c r="G214" s="279">
        <v>1</v>
      </c>
      <c r="H214" s="268">
        <v>81.41</v>
      </c>
      <c r="I214" s="268">
        <f>13.84*1.2488</f>
        <v>17.283391999999999</v>
      </c>
      <c r="J214" s="268">
        <f>67.57*1.2488</f>
        <v>84.381415999999987</v>
      </c>
      <c r="K214" s="268">
        <f t="shared" ref="K214:K248" si="58">I214+J214</f>
        <v>101.66480799999999</v>
      </c>
      <c r="L214" s="268">
        <f t="shared" ref="L214:L248" si="59">G214*I214</f>
        <v>17.283391999999999</v>
      </c>
      <c r="M214" s="268">
        <f t="shared" ref="M214:M248" si="60">G214*J214</f>
        <v>84.381415999999987</v>
      </c>
      <c r="N214" s="268">
        <f t="shared" ref="N214:N247" si="61">L214+M214</f>
        <v>101.66480799999999</v>
      </c>
      <c r="O214" s="269">
        <f t="shared" si="42"/>
        <v>4.4345855995006773E-5</v>
      </c>
      <c r="P214" s="44"/>
      <c r="Q214" s="49"/>
      <c r="R214" s="124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4"/>
      <c r="AI214" s="44"/>
      <c r="AJ214" s="44"/>
    </row>
    <row r="215" spans="1:36" ht="27.6" x14ac:dyDescent="0.25">
      <c r="A215" s="94"/>
      <c r="B215" s="265" t="s">
        <v>1160</v>
      </c>
      <c r="C215" s="266" t="s">
        <v>1045</v>
      </c>
      <c r="D215" s="265" t="s">
        <v>40</v>
      </c>
      <c r="E215" s="265" t="s">
        <v>1046</v>
      </c>
      <c r="F215" s="267" t="s">
        <v>43</v>
      </c>
      <c r="G215" s="279">
        <v>1</v>
      </c>
      <c r="H215" s="268">
        <v>71.709999999999994</v>
      </c>
      <c r="I215" s="268">
        <f>5.94*1.2488</f>
        <v>7.417872</v>
      </c>
      <c r="J215" s="268">
        <f>65.77*1.2488</f>
        <v>82.133575999999991</v>
      </c>
      <c r="K215" s="268">
        <f t="shared" si="58"/>
        <v>89.551447999999993</v>
      </c>
      <c r="L215" s="268">
        <f t="shared" si="59"/>
        <v>7.417872</v>
      </c>
      <c r="M215" s="268">
        <f t="shared" si="60"/>
        <v>82.133575999999991</v>
      </c>
      <c r="N215" s="268">
        <f t="shared" si="61"/>
        <v>89.551447999999993</v>
      </c>
      <c r="O215" s="269">
        <f t="shared" si="42"/>
        <v>3.9062048070285416E-5</v>
      </c>
      <c r="P215" s="44"/>
      <c r="Q215" s="49"/>
      <c r="R215" s="124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4"/>
      <c r="AI215" s="44"/>
      <c r="AJ215" s="44"/>
    </row>
    <row r="216" spans="1:36" ht="27.6" customHeight="1" x14ac:dyDescent="0.25">
      <c r="A216" s="94"/>
      <c r="B216" s="265" t="s">
        <v>1161</v>
      </c>
      <c r="C216" s="266" t="s">
        <v>596</v>
      </c>
      <c r="D216" s="265" t="s">
        <v>40</v>
      </c>
      <c r="E216" s="265" t="s">
        <v>597</v>
      </c>
      <c r="F216" s="267" t="s">
        <v>43</v>
      </c>
      <c r="G216" s="279">
        <v>1</v>
      </c>
      <c r="H216" s="268">
        <v>50.19</v>
      </c>
      <c r="I216" s="268">
        <f>9.91*1.2488</f>
        <v>12.375608</v>
      </c>
      <c r="J216" s="268">
        <f>40.28*1.2488</f>
        <v>50.301663999999995</v>
      </c>
      <c r="K216" s="268">
        <f t="shared" si="58"/>
        <v>62.677271999999995</v>
      </c>
      <c r="L216" s="268">
        <f t="shared" si="59"/>
        <v>12.375608</v>
      </c>
      <c r="M216" s="268">
        <f t="shared" si="60"/>
        <v>50.301663999999995</v>
      </c>
      <c r="N216" s="268">
        <f t="shared" si="61"/>
        <v>62.677271999999995</v>
      </c>
      <c r="O216" s="269">
        <f t="shared" si="42"/>
        <v>2.7339620591934528E-5</v>
      </c>
      <c r="P216" s="44"/>
      <c r="Q216" s="49"/>
      <c r="R216" s="124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4"/>
      <c r="AI216" s="44"/>
      <c r="AJ216" s="44"/>
    </row>
    <row r="217" spans="1:36" ht="41.4" x14ac:dyDescent="0.25">
      <c r="A217" s="94"/>
      <c r="B217" s="265" t="s">
        <v>1162</v>
      </c>
      <c r="C217" s="266" t="s">
        <v>598</v>
      </c>
      <c r="D217" s="265" t="s">
        <v>40</v>
      </c>
      <c r="E217" s="265" t="s">
        <v>599</v>
      </c>
      <c r="F217" s="267" t="s">
        <v>43</v>
      </c>
      <c r="G217" s="279">
        <v>3</v>
      </c>
      <c r="H217" s="268">
        <v>12.08</v>
      </c>
      <c r="I217" s="268">
        <f>4.94*1.2488</f>
        <v>6.1690719999999999</v>
      </c>
      <c r="J217" s="268">
        <f>8.16*1.2488</f>
        <v>10.190208</v>
      </c>
      <c r="K217" s="268">
        <f t="shared" si="58"/>
        <v>16.359279999999998</v>
      </c>
      <c r="L217" s="268">
        <f t="shared" si="59"/>
        <v>18.507216</v>
      </c>
      <c r="M217" s="268">
        <f t="shared" si="60"/>
        <v>30.570624000000002</v>
      </c>
      <c r="N217" s="268">
        <f t="shared" si="61"/>
        <v>49.077840000000002</v>
      </c>
      <c r="O217" s="269">
        <f t="shared" si="42"/>
        <v>2.1407592932118491E-5</v>
      </c>
      <c r="P217" s="44"/>
      <c r="Q217" s="49"/>
      <c r="R217" s="124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4"/>
      <c r="AI217" s="44"/>
      <c r="AJ217" s="44"/>
    </row>
    <row r="218" spans="1:36" ht="27.6" x14ac:dyDescent="0.25">
      <c r="A218" s="94"/>
      <c r="B218" s="265" t="s">
        <v>1163</v>
      </c>
      <c r="C218" s="266" t="s">
        <v>600</v>
      </c>
      <c r="D218" s="265" t="s">
        <v>40</v>
      </c>
      <c r="E218" s="265" t="s">
        <v>601</v>
      </c>
      <c r="F218" s="267" t="s">
        <v>43</v>
      </c>
      <c r="G218" s="279">
        <v>17</v>
      </c>
      <c r="H218" s="268">
        <v>31.16</v>
      </c>
      <c r="I218" s="268">
        <f>12.07*1.2488</f>
        <v>15.073015999999999</v>
      </c>
      <c r="J218" s="268">
        <f>19.09*1.2488</f>
        <v>23.839592</v>
      </c>
      <c r="K218" s="268">
        <f t="shared" si="58"/>
        <v>38.912607999999999</v>
      </c>
      <c r="L218" s="268">
        <f t="shared" si="59"/>
        <v>256.24127199999998</v>
      </c>
      <c r="M218" s="268">
        <f t="shared" si="60"/>
        <v>405.27306399999998</v>
      </c>
      <c r="N218" s="268">
        <v>661.47</v>
      </c>
      <c r="O218" s="269">
        <f t="shared" si="42"/>
        <v>2.8853104571856502E-4</v>
      </c>
      <c r="P218" s="44"/>
      <c r="Q218" s="49"/>
      <c r="R218" s="124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4"/>
      <c r="AI218" s="44"/>
      <c r="AJ218" s="44"/>
    </row>
    <row r="219" spans="1:36" ht="27.6" x14ac:dyDescent="0.25">
      <c r="A219" s="94"/>
      <c r="B219" s="265" t="s">
        <v>1164</v>
      </c>
      <c r="C219" s="266" t="s">
        <v>602</v>
      </c>
      <c r="D219" s="265" t="s">
        <v>40</v>
      </c>
      <c r="E219" s="265" t="s">
        <v>603</v>
      </c>
      <c r="F219" s="267" t="s">
        <v>54</v>
      </c>
      <c r="G219" s="279">
        <v>54.4</v>
      </c>
      <c r="H219" s="268">
        <v>34.57</v>
      </c>
      <c r="I219" s="268">
        <f>14.08*1.2488</f>
        <v>17.583103999999999</v>
      </c>
      <c r="J219" s="268">
        <f>20.49*1.2488</f>
        <v>25.587911999999996</v>
      </c>
      <c r="K219" s="268">
        <f t="shared" si="58"/>
        <v>43.171015999999995</v>
      </c>
      <c r="L219" s="268">
        <f t="shared" si="59"/>
        <v>956.52085759999989</v>
      </c>
      <c r="M219" s="268">
        <f t="shared" si="60"/>
        <v>1391.9824127999998</v>
      </c>
      <c r="N219" s="268">
        <v>2348.4499999999998</v>
      </c>
      <c r="O219" s="269">
        <f t="shared" si="42"/>
        <v>1.0243861918420548E-3</v>
      </c>
      <c r="P219" s="44"/>
      <c r="Q219" s="49"/>
      <c r="R219" s="124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4"/>
      <c r="AI219" s="44"/>
      <c r="AJ219" s="44"/>
    </row>
    <row r="220" spans="1:36" x14ac:dyDescent="0.25">
      <c r="A220" s="94"/>
      <c r="B220" s="265" t="s">
        <v>1165</v>
      </c>
      <c r="C220" s="266" t="s">
        <v>871</v>
      </c>
      <c r="D220" s="265" t="s">
        <v>200</v>
      </c>
      <c r="E220" s="265" t="s">
        <v>872</v>
      </c>
      <c r="F220" s="267" t="s">
        <v>394</v>
      </c>
      <c r="G220" s="279">
        <v>1</v>
      </c>
      <c r="H220" s="268">
        <v>1047.6099999999999</v>
      </c>
      <c r="I220" s="268">
        <f>63.21*1.2488</f>
        <v>78.936647999999991</v>
      </c>
      <c r="J220" s="268">
        <f>984.4*1.2488</f>
        <v>1229.31872</v>
      </c>
      <c r="K220" s="268">
        <f t="shared" si="58"/>
        <v>1308.2553680000001</v>
      </c>
      <c r="L220" s="268">
        <f t="shared" si="59"/>
        <v>78.936647999999991</v>
      </c>
      <c r="M220" s="268">
        <f t="shared" si="60"/>
        <v>1229.31872</v>
      </c>
      <c r="N220" s="268">
        <f t="shared" si="61"/>
        <v>1308.2553680000001</v>
      </c>
      <c r="O220" s="269">
        <f t="shared" si="42"/>
        <v>5.7065670309457139E-4</v>
      </c>
      <c r="P220" s="44"/>
      <c r="Q220" s="49"/>
      <c r="R220" s="124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4"/>
      <c r="AI220" s="44"/>
      <c r="AJ220" s="44"/>
    </row>
    <row r="221" spans="1:36" x14ac:dyDescent="0.25">
      <c r="A221" s="94"/>
      <c r="B221" s="265" t="s">
        <v>1166</v>
      </c>
      <c r="C221" s="266" t="s">
        <v>396</v>
      </c>
      <c r="D221" s="265" t="s">
        <v>40</v>
      </c>
      <c r="E221" s="265" t="s">
        <v>397</v>
      </c>
      <c r="F221" s="267" t="s">
        <v>43</v>
      </c>
      <c r="G221" s="279">
        <v>1</v>
      </c>
      <c r="H221" s="268">
        <v>34.19</v>
      </c>
      <c r="I221" s="268">
        <f>5.79*1.2488</f>
        <v>7.2305519999999994</v>
      </c>
      <c r="J221" s="268">
        <f>28.4*1.2488</f>
        <v>35.465919999999997</v>
      </c>
      <c r="K221" s="268">
        <f t="shared" si="58"/>
        <v>42.696472</v>
      </c>
      <c r="L221" s="268">
        <f t="shared" si="59"/>
        <v>7.2305519999999994</v>
      </c>
      <c r="M221" s="268">
        <f t="shared" si="60"/>
        <v>35.465919999999997</v>
      </c>
      <c r="N221" s="268">
        <f t="shared" si="61"/>
        <v>42.696472</v>
      </c>
      <c r="O221" s="269">
        <f t="shared" si="42"/>
        <v>1.8624061128476623E-5</v>
      </c>
      <c r="P221" s="44"/>
      <c r="Q221" s="49"/>
      <c r="R221" s="124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4"/>
      <c r="AI221" s="44"/>
      <c r="AJ221" s="44"/>
    </row>
    <row r="222" spans="1:36" ht="27.6" x14ac:dyDescent="0.25">
      <c r="A222" s="94"/>
      <c r="B222" s="265" t="s">
        <v>1167</v>
      </c>
      <c r="C222" s="266" t="s">
        <v>170</v>
      </c>
      <c r="D222" s="265" t="s">
        <v>40</v>
      </c>
      <c r="E222" s="265" t="s">
        <v>171</v>
      </c>
      <c r="F222" s="267" t="s">
        <v>43</v>
      </c>
      <c r="G222" s="279">
        <v>1</v>
      </c>
      <c r="H222" s="268">
        <v>141.19</v>
      </c>
      <c r="I222" s="268">
        <f>19.68*1.2488</f>
        <v>24.576383999999997</v>
      </c>
      <c r="J222" s="268">
        <f>121.51*1.2488</f>
        <v>151.74168799999998</v>
      </c>
      <c r="K222" s="268">
        <f t="shared" si="58"/>
        <v>176.31807199999997</v>
      </c>
      <c r="L222" s="268">
        <f t="shared" si="59"/>
        <v>24.576383999999997</v>
      </c>
      <c r="M222" s="268">
        <f t="shared" si="60"/>
        <v>151.74168799999998</v>
      </c>
      <c r="N222" s="268">
        <f t="shared" si="61"/>
        <v>176.31807199999997</v>
      </c>
      <c r="O222" s="269">
        <f t="shared" si="42"/>
        <v>7.6909365040351386E-5</v>
      </c>
      <c r="P222" s="44"/>
      <c r="Q222" s="49"/>
      <c r="R222" s="124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4"/>
      <c r="AI222" s="44"/>
      <c r="AJ222" s="44"/>
    </row>
    <row r="223" spans="1:36" ht="27.6" x14ac:dyDescent="0.25">
      <c r="A223" s="94"/>
      <c r="B223" s="265" t="s">
        <v>1168</v>
      </c>
      <c r="C223" s="266" t="s">
        <v>168</v>
      </c>
      <c r="D223" s="265" t="s">
        <v>40</v>
      </c>
      <c r="E223" s="265" t="s">
        <v>169</v>
      </c>
      <c r="F223" s="267" t="s">
        <v>43</v>
      </c>
      <c r="G223" s="279">
        <v>24</v>
      </c>
      <c r="H223" s="268">
        <v>80.05</v>
      </c>
      <c r="I223" s="268">
        <f>11.63*1.2488</f>
        <v>14.523543999999999</v>
      </c>
      <c r="J223" s="268">
        <f>68.42*1.2488</f>
        <v>85.44289599999999</v>
      </c>
      <c r="K223" s="268">
        <f t="shared" si="58"/>
        <v>99.966439999999992</v>
      </c>
      <c r="L223" s="268">
        <f t="shared" si="59"/>
        <v>348.56505599999997</v>
      </c>
      <c r="M223" s="268">
        <f t="shared" si="60"/>
        <v>2050.6295039999995</v>
      </c>
      <c r="N223" s="268">
        <v>2399.2800000000002</v>
      </c>
      <c r="O223" s="269">
        <f t="shared" si="42"/>
        <v>1.0465580712226384E-3</v>
      </c>
      <c r="P223" s="44"/>
      <c r="Q223" s="49"/>
      <c r="R223" s="124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4"/>
      <c r="AI223" s="44"/>
      <c r="AJ223" s="44"/>
    </row>
    <row r="224" spans="1:36" ht="27.6" x14ac:dyDescent="0.25">
      <c r="A224" s="94"/>
      <c r="B224" s="265" t="s">
        <v>1169</v>
      </c>
      <c r="C224" s="266" t="s">
        <v>166</v>
      </c>
      <c r="D224" s="265" t="s">
        <v>40</v>
      </c>
      <c r="E224" s="265" t="s">
        <v>167</v>
      </c>
      <c r="F224" s="267" t="s">
        <v>43</v>
      </c>
      <c r="G224" s="279">
        <v>2</v>
      </c>
      <c r="H224" s="268">
        <v>76.36</v>
      </c>
      <c r="I224" s="268">
        <f>11.63*1.2488</f>
        <v>14.523543999999999</v>
      </c>
      <c r="J224" s="268">
        <f>64.73*1.2488</f>
        <v>80.834823999999998</v>
      </c>
      <c r="K224" s="268">
        <f t="shared" si="58"/>
        <v>95.358367999999999</v>
      </c>
      <c r="L224" s="268">
        <f t="shared" si="59"/>
        <v>29.047087999999999</v>
      </c>
      <c r="M224" s="268">
        <f t="shared" si="60"/>
        <v>161.669648</v>
      </c>
      <c r="N224" s="268">
        <f t="shared" si="61"/>
        <v>190.716736</v>
      </c>
      <c r="O224" s="269">
        <f t="shared" si="42"/>
        <v>8.3190015078705748E-5</v>
      </c>
      <c r="P224" s="44"/>
      <c r="Q224" s="49"/>
      <c r="R224" s="124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4"/>
      <c r="AI224" s="44"/>
      <c r="AJ224" s="44"/>
    </row>
    <row r="225" spans="1:36" ht="27.6" x14ac:dyDescent="0.25">
      <c r="A225" s="94"/>
      <c r="B225" s="265" t="s">
        <v>1170</v>
      </c>
      <c r="C225" s="266" t="s">
        <v>611</v>
      </c>
      <c r="D225" s="265" t="s">
        <v>40</v>
      </c>
      <c r="E225" s="265" t="s">
        <v>612</v>
      </c>
      <c r="F225" s="267" t="s">
        <v>54</v>
      </c>
      <c r="G225" s="279">
        <v>2</v>
      </c>
      <c r="H225" s="268">
        <v>70.17</v>
      </c>
      <c r="I225" s="268">
        <f>10.2*1.2488</f>
        <v>12.737759999999998</v>
      </c>
      <c r="J225" s="268">
        <f>59.97*1.2488</f>
        <v>74.890535999999997</v>
      </c>
      <c r="K225" s="268">
        <f t="shared" si="58"/>
        <v>87.628295999999992</v>
      </c>
      <c r="L225" s="268">
        <f t="shared" si="59"/>
        <v>25.475519999999996</v>
      </c>
      <c r="M225" s="268">
        <f t="shared" si="60"/>
        <v>149.78107199999999</v>
      </c>
      <c r="N225" s="268">
        <f t="shared" si="61"/>
        <v>175.25659199999998</v>
      </c>
      <c r="O225" s="269">
        <f t="shared" si="42"/>
        <v>7.6446350943855187E-5</v>
      </c>
      <c r="P225" s="44"/>
      <c r="Q225" s="49"/>
      <c r="R225" s="124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4"/>
      <c r="AI225" s="44"/>
      <c r="AJ225" s="44"/>
    </row>
    <row r="226" spans="1:36" ht="27.6" x14ac:dyDescent="0.25">
      <c r="A226" s="94"/>
      <c r="B226" s="265" t="s">
        <v>1171</v>
      </c>
      <c r="C226" s="266" t="s">
        <v>613</v>
      </c>
      <c r="D226" s="265" t="s">
        <v>40</v>
      </c>
      <c r="E226" s="265" t="s">
        <v>614</v>
      </c>
      <c r="F226" s="267" t="s">
        <v>54</v>
      </c>
      <c r="G226" s="279">
        <v>1</v>
      </c>
      <c r="H226" s="268">
        <v>122.78</v>
      </c>
      <c r="I226" s="268">
        <f>16.09*1.2488</f>
        <v>20.093191999999998</v>
      </c>
      <c r="J226" s="268">
        <f>106.69*1.2488</f>
        <v>133.23447199999998</v>
      </c>
      <c r="K226" s="268">
        <f t="shared" si="58"/>
        <v>153.32766399999997</v>
      </c>
      <c r="L226" s="268">
        <f t="shared" si="59"/>
        <v>20.093191999999998</v>
      </c>
      <c r="M226" s="268">
        <f t="shared" si="60"/>
        <v>133.23447199999998</v>
      </c>
      <c r="N226" s="268">
        <f t="shared" si="61"/>
        <v>153.32766399999997</v>
      </c>
      <c r="O226" s="269">
        <f t="shared" si="42"/>
        <v>6.6881024432710126E-5</v>
      </c>
      <c r="P226" s="44"/>
      <c r="Q226" s="49"/>
      <c r="R226" s="124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4"/>
      <c r="AI226" s="44"/>
      <c r="AJ226" s="44"/>
    </row>
    <row r="227" spans="1:36" ht="27.6" x14ac:dyDescent="0.25">
      <c r="A227" s="94"/>
      <c r="B227" s="265" t="s">
        <v>1172</v>
      </c>
      <c r="C227" s="266" t="s">
        <v>615</v>
      </c>
      <c r="D227" s="265" t="s">
        <v>40</v>
      </c>
      <c r="E227" s="265" t="s">
        <v>616</v>
      </c>
      <c r="F227" s="267" t="s">
        <v>43</v>
      </c>
      <c r="G227" s="279">
        <v>2</v>
      </c>
      <c r="H227" s="268">
        <v>8.68</v>
      </c>
      <c r="I227" s="268">
        <f>5*1.2488</f>
        <v>6.2439999999999998</v>
      </c>
      <c r="J227" s="268">
        <f>3.68*1.2488</f>
        <v>4.5955839999999997</v>
      </c>
      <c r="K227" s="268">
        <f t="shared" si="58"/>
        <v>10.839583999999999</v>
      </c>
      <c r="L227" s="268">
        <f t="shared" si="59"/>
        <v>12.488</v>
      </c>
      <c r="M227" s="268">
        <f t="shared" si="60"/>
        <v>9.1911679999999993</v>
      </c>
      <c r="N227" s="268">
        <f t="shared" si="61"/>
        <v>21.679167999999997</v>
      </c>
      <c r="O227" s="269">
        <f t="shared" si="42"/>
        <v>9.4563820178518315E-6</v>
      </c>
      <c r="P227" s="44"/>
      <c r="Q227" s="49"/>
      <c r="R227" s="124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4"/>
      <c r="AI227" s="44"/>
      <c r="AJ227" s="44"/>
    </row>
    <row r="228" spans="1:36" ht="27.6" x14ac:dyDescent="0.25">
      <c r="A228" s="94"/>
      <c r="B228" s="265" t="s">
        <v>1173</v>
      </c>
      <c r="C228" s="266" t="s">
        <v>617</v>
      </c>
      <c r="D228" s="265" t="s">
        <v>40</v>
      </c>
      <c r="E228" s="265" t="s">
        <v>618</v>
      </c>
      <c r="F228" s="267" t="s">
        <v>43</v>
      </c>
      <c r="G228" s="279">
        <v>2</v>
      </c>
      <c r="H228" s="268">
        <v>25.14</v>
      </c>
      <c r="I228" s="268">
        <f>3.86*1.2488</f>
        <v>4.8203679999999993</v>
      </c>
      <c r="J228" s="268">
        <f>31.43*1.2488</f>
        <v>39.249783999999998</v>
      </c>
      <c r="K228" s="268">
        <f t="shared" si="58"/>
        <v>44.070152</v>
      </c>
      <c r="L228" s="268">
        <f t="shared" si="59"/>
        <v>9.6407359999999986</v>
      </c>
      <c r="M228" s="268">
        <f t="shared" si="60"/>
        <v>78.499567999999996</v>
      </c>
      <c r="N228" s="268">
        <f t="shared" si="61"/>
        <v>88.140304</v>
      </c>
      <c r="O228" s="269">
        <f t="shared" si="42"/>
        <v>3.8446511683178701E-5</v>
      </c>
      <c r="P228" s="44"/>
      <c r="Q228" s="49"/>
      <c r="R228" s="124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4"/>
      <c r="AI228" s="44"/>
      <c r="AJ228" s="44"/>
    </row>
    <row r="229" spans="1:36" ht="41.4" x14ac:dyDescent="0.25">
      <c r="A229" s="94"/>
      <c r="B229" s="265" t="s">
        <v>1174</v>
      </c>
      <c r="C229" s="266" t="s">
        <v>619</v>
      </c>
      <c r="D229" s="265" t="s">
        <v>40</v>
      </c>
      <c r="E229" s="265" t="s">
        <v>620</v>
      </c>
      <c r="F229" s="267" t="s">
        <v>43</v>
      </c>
      <c r="G229" s="279">
        <v>52</v>
      </c>
      <c r="H229" s="268">
        <v>3.98</v>
      </c>
      <c r="I229" s="268">
        <f>2.03*1.2488</f>
        <v>2.5350639999999998</v>
      </c>
      <c r="J229" s="268">
        <f>1.95*1.2488</f>
        <v>2.4351599999999998</v>
      </c>
      <c r="K229" s="268">
        <f t="shared" si="58"/>
        <v>4.970224</v>
      </c>
      <c r="L229" s="268">
        <f t="shared" si="59"/>
        <v>131.82332799999998</v>
      </c>
      <c r="M229" s="268">
        <f t="shared" si="60"/>
        <v>126.62831999999999</v>
      </c>
      <c r="N229" s="268">
        <v>258.44</v>
      </c>
      <c r="O229" s="269">
        <f t="shared" si="42"/>
        <v>1.127306808404099E-4</v>
      </c>
      <c r="P229" s="44"/>
      <c r="Q229" s="49"/>
      <c r="R229" s="124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4"/>
      <c r="AI229" s="44"/>
      <c r="AJ229" s="44"/>
    </row>
    <row r="230" spans="1:36" ht="27.6" x14ac:dyDescent="0.25">
      <c r="A230" s="94"/>
      <c r="B230" s="265" t="s">
        <v>1175</v>
      </c>
      <c r="C230" s="266" t="s">
        <v>621</v>
      </c>
      <c r="D230" s="265" t="s">
        <v>40</v>
      </c>
      <c r="E230" s="265" t="s">
        <v>1047</v>
      </c>
      <c r="F230" s="267" t="s">
        <v>43</v>
      </c>
      <c r="G230" s="279">
        <v>1</v>
      </c>
      <c r="H230" s="268">
        <v>19.21</v>
      </c>
      <c r="I230" s="268">
        <f>6.87*1.2488</f>
        <v>8.5792559999999991</v>
      </c>
      <c r="J230" s="268">
        <f>12.34*1.2488</f>
        <v>15.410191999999999</v>
      </c>
      <c r="K230" s="268">
        <f t="shared" si="58"/>
        <v>23.989447999999996</v>
      </c>
      <c r="L230" s="268">
        <f t="shared" si="59"/>
        <v>8.5792559999999991</v>
      </c>
      <c r="M230" s="268">
        <f t="shared" si="60"/>
        <v>15.410191999999999</v>
      </c>
      <c r="N230" s="268">
        <f t="shared" si="61"/>
        <v>23.989447999999996</v>
      </c>
      <c r="O230" s="269">
        <f t="shared" si="42"/>
        <v>1.0464118580814151E-5</v>
      </c>
      <c r="P230" s="44"/>
      <c r="Q230" s="49"/>
      <c r="R230" s="124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4"/>
      <c r="AI230" s="44"/>
      <c r="AJ230" s="44"/>
    </row>
    <row r="231" spans="1:36" ht="27.6" x14ac:dyDescent="0.25">
      <c r="A231" s="94"/>
      <c r="B231" s="265" t="s">
        <v>1176</v>
      </c>
      <c r="C231" s="266" t="s">
        <v>634</v>
      </c>
      <c r="D231" s="265" t="s">
        <v>40</v>
      </c>
      <c r="E231" s="265" t="s">
        <v>635</v>
      </c>
      <c r="F231" s="267" t="s">
        <v>43</v>
      </c>
      <c r="G231" s="279">
        <v>3</v>
      </c>
      <c r="H231" s="268">
        <v>9.65</v>
      </c>
      <c r="I231" s="268">
        <f>5.87*1.2488</f>
        <v>7.3304559999999999</v>
      </c>
      <c r="J231" s="268">
        <f>3.78*1.2488</f>
        <v>4.7204639999999998</v>
      </c>
      <c r="K231" s="268">
        <f t="shared" si="58"/>
        <v>12.05092</v>
      </c>
      <c r="L231" s="268">
        <f t="shared" si="59"/>
        <v>21.991368000000001</v>
      </c>
      <c r="M231" s="268">
        <f t="shared" si="60"/>
        <v>14.161391999999999</v>
      </c>
      <c r="N231" s="268">
        <f t="shared" si="61"/>
        <v>36.152760000000001</v>
      </c>
      <c r="O231" s="269">
        <f t="shared" si="42"/>
        <v>1.5769715404194155E-5</v>
      </c>
      <c r="P231" s="44"/>
      <c r="Q231" s="49"/>
      <c r="R231" s="124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4"/>
      <c r="AI231" s="44"/>
      <c r="AJ231" s="44"/>
    </row>
    <row r="232" spans="1:36" ht="27.6" x14ac:dyDescent="0.25">
      <c r="A232" s="94"/>
      <c r="B232" s="265" t="s">
        <v>1177</v>
      </c>
      <c r="C232" s="266" t="s">
        <v>622</v>
      </c>
      <c r="D232" s="265" t="s">
        <v>40</v>
      </c>
      <c r="E232" s="265" t="s">
        <v>623</v>
      </c>
      <c r="F232" s="267" t="s">
        <v>43</v>
      </c>
      <c r="G232" s="279">
        <v>1</v>
      </c>
      <c r="H232" s="268">
        <v>10.37</v>
      </c>
      <c r="I232" s="268">
        <f>3.47*1.2488</f>
        <v>4.3333360000000001</v>
      </c>
      <c r="J232" s="268">
        <f>6.9*1.2488</f>
        <v>8.616719999999999</v>
      </c>
      <c r="K232" s="268">
        <f t="shared" si="58"/>
        <v>12.950056</v>
      </c>
      <c r="L232" s="268">
        <f t="shared" si="59"/>
        <v>4.3333360000000001</v>
      </c>
      <c r="M232" s="268">
        <f t="shared" si="60"/>
        <v>8.616719999999999</v>
      </c>
      <c r="N232" s="268">
        <f t="shared" si="61"/>
        <v>12.950056</v>
      </c>
      <c r="O232" s="269">
        <f t="shared" si="42"/>
        <v>5.6487719772536579E-6</v>
      </c>
      <c r="P232" s="44"/>
      <c r="Q232" s="49"/>
      <c r="R232" s="124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4"/>
      <c r="AI232" s="44"/>
      <c r="AJ232" s="44"/>
    </row>
    <row r="233" spans="1:36" ht="27.6" x14ac:dyDescent="0.25">
      <c r="A233" s="94"/>
      <c r="B233" s="265" t="s">
        <v>1178</v>
      </c>
      <c r="C233" s="266" t="s">
        <v>875</v>
      </c>
      <c r="D233" s="265" t="s">
        <v>40</v>
      </c>
      <c r="E233" s="265" t="s">
        <v>876</v>
      </c>
      <c r="F233" s="267" t="s">
        <v>43</v>
      </c>
      <c r="G233" s="279">
        <v>1</v>
      </c>
      <c r="H233" s="268">
        <v>16.489999999999998</v>
      </c>
      <c r="I233" s="268">
        <f>6.88*1.2488</f>
        <v>8.5917439999999985</v>
      </c>
      <c r="J233" s="268">
        <f>9.61*1.2488</f>
        <v>12.000967999999999</v>
      </c>
      <c r="K233" s="268">
        <f t="shared" si="58"/>
        <v>20.592711999999999</v>
      </c>
      <c r="L233" s="268">
        <f t="shared" si="59"/>
        <v>8.5917439999999985</v>
      </c>
      <c r="M233" s="268">
        <f t="shared" si="60"/>
        <v>12.000967999999999</v>
      </c>
      <c r="N233" s="268">
        <f t="shared" si="61"/>
        <v>20.592711999999999</v>
      </c>
      <c r="O233" s="269">
        <f t="shared" si="42"/>
        <v>8.9824734720263083E-6</v>
      </c>
      <c r="P233" s="44"/>
      <c r="Q233" s="49"/>
      <c r="R233" s="124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4"/>
      <c r="AI233" s="44"/>
      <c r="AJ233" s="44"/>
    </row>
    <row r="234" spans="1:36" ht="27.6" customHeight="1" x14ac:dyDescent="0.25">
      <c r="A234" s="94"/>
      <c r="B234" s="265" t="s">
        <v>1179</v>
      </c>
      <c r="C234" s="266" t="s">
        <v>624</v>
      </c>
      <c r="D234" s="265" t="s">
        <v>40</v>
      </c>
      <c r="E234" s="265" t="s">
        <v>625</v>
      </c>
      <c r="F234" s="267" t="s">
        <v>43</v>
      </c>
      <c r="G234" s="279">
        <v>1</v>
      </c>
      <c r="H234" s="268">
        <v>8.17</v>
      </c>
      <c r="I234" s="268">
        <f>3.72*1.2488</f>
        <v>4.6455359999999999</v>
      </c>
      <c r="J234" s="268">
        <f>4.45*1.2488</f>
        <v>5.5571599999999997</v>
      </c>
      <c r="K234" s="268">
        <f t="shared" si="58"/>
        <v>10.202696</v>
      </c>
      <c r="L234" s="268">
        <f t="shared" si="59"/>
        <v>4.6455359999999999</v>
      </c>
      <c r="M234" s="268">
        <f t="shared" si="60"/>
        <v>5.5571599999999997</v>
      </c>
      <c r="N234" s="268">
        <f t="shared" si="61"/>
        <v>10.202696</v>
      </c>
      <c r="O234" s="269">
        <f t="shared" si="42"/>
        <v>4.4503825510281949E-6</v>
      </c>
      <c r="P234" s="44"/>
      <c r="Q234" s="49"/>
      <c r="R234" s="124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4"/>
      <c r="AI234" s="44"/>
      <c r="AJ234" s="44"/>
    </row>
    <row r="235" spans="1:36" ht="27.6" x14ac:dyDescent="0.25">
      <c r="A235" s="94"/>
      <c r="B235" s="265" t="s">
        <v>1180</v>
      </c>
      <c r="C235" s="266" t="s">
        <v>626</v>
      </c>
      <c r="D235" s="265" t="s">
        <v>40</v>
      </c>
      <c r="E235" s="265" t="s">
        <v>627</v>
      </c>
      <c r="F235" s="267" t="s">
        <v>43</v>
      </c>
      <c r="G235" s="279">
        <v>81</v>
      </c>
      <c r="H235" s="268">
        <v>8.7100000000000009</v>
      </c>
      <c r="I235" s="268">
        <f>3.72*1.2488</f>
        <v>4.6455359999999999</v>
      </c>
      <c r="J235" s="268">
        <f>4.99*1.2488</f>
        <v>6.2315119999999995</v>
      </c>
      <c r="K235" s="268">
        <f t="shared" si="58"/>
        <v>10.877047999999998</v>
      </c>
      <c r="L235" s="268">
        <f t="shared" si="59"/>
        <v>376.28841599999998</v>
      </c>
      <c r="M235" s="268">
        <f t="shared" si="60"/>
        <v>504.75247199999995</v>
      </c>
      <c r="N235" s="268">
        <v>881.28</v>
      </c>
      <c r="O235" s="269">
        <f t="shared" si="42"/>
        <v>3.8441144718710893E-4</v>
      </c>
      <c r="P235" s="44"/>
      <c r="Q235" s="49"/>
      <c r="R235" s="124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4"/>
      <c r="AI235" s="44"/>
      <c r="AJ235" s="44"/>
    </row>
    <row r="236" spans="1:36" ht="27.6" x14ac:dyDescent="0.25">
      <c r="A236" s="94"/>
      <c r="B236" s="265" t="s">
        <v>1181</v>
      </c>
      <c r="C236" s="266" t="s">
        <v>628</v>
      </c>
      <c r="D236" s="265" t="s">
        <v>40</v>
      </c>
      <c r="E236" s="265" t="s">
        <v>629</v>
      </c>
      <c r="F236" s="267" t="s">
        <v>43</v>
      </c>
      <c r="G236" s="279">
        <v>1</v>
      </c>
      <c r="H236" s="268">
        <v>14.57</v>
      </c>
      <c r="I236" s="268">
        <f>5.33*1.2488</f>
        <v>6.656104</v>
      </c>
      <c r="J236" s="268">
        <f>9.24*1.2488</f>
        <v>11.538912</v>
      </c>
      <c r="K236" s="268">
        <f t="shared" si="58"/>
        <v>18.195015999999999</v>
      </c>
      <c r="L236" s="268">
        <f t="shared" si="59"/>
        <v>6.656104</v>
      </c>
      <c r="M236" s="268">
        <f t="shared" si="60"/>
        <v>11.538912</v>
      </c>
      <c r="N236" s="268">
        <f t="shared" si="61"/>
        <v>18.195015999999999</v>
      </c>
      <c r="O236" s="269">
        <f t="shared" si="42"/>
        <v>7.9366063364113587E-6</v>
      </c>
      <c r="P236" s="44"/>
      <c r="Q236" s="49"/>
      <c r="R236" s="124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4"/>
      <c r="AI236" s="44"/>
      <c r="AJ236" s="44"/>
    </row>
    <row r="237" spans="1:36" ht="27.6" x14ac:dyDescent="0.25">
      <c r="A237" s="94"/>
      <c r="B237" s="265" t="s">
        <v>1182</v>
      </c>
      <c r="C237" s="266" t="s">
        <v>630</v>
      </c>
      <c r="D237" s="265" t="s">
        <v>40</v>
      </c>
      <c r="E237" s="265" t="s">
        <v>631</v>
      </c>
      <c r="F237" s="267" t="s">
        <v>43</v>
      </c>
      <c r="G237" s="279">
        <v>25</v>
      </c>
      <c r="H237" s="268">
        <v>16.5</v>
      </c>
      <c r="I237" s="268">
        <f>2.46*1.2488</f>
        <v>3.0720479999999997</v>
      </c>
      <c r="J237" s="268">
        <f>14.04*1.2488</f>
        <v>17.533151999999998</v>
      </c>
      <c r="K237" s="268">
        <f t="shared" si="58"/>
        <v>20.605199999999996</v>
      </c>
      <c r="L237" s="268">
        <f t="shared" si="59"/>
        <v>76.801199999999994</v>
      </c>
      <c r="M237" s="268">
        <f t="shared" si="60"/>
        <v>438.32879999999994</v>
      </c>
      <c r="N237" s="268">
        <v>515.25</v>
      </c>
      <c r="O237" s="269">
        <f t="shared" si="42"/>
        <v>2.2475036102391737E-4</v>
      </c>
      <c r="P237" s="44"/>
      <c r="Q237" s="49"/>
      <c r="R237" s="124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4"/>
      <c r="AI237" s="44"/>
      <c r="AJ237" s="44"/>
    </row>
    <row r="238" spans="1:36" ht="27.6" x14ac:dyDescent="0.25">
      <c r="A238" s="94"/>
      <c r="B238" s="265" t="s">
        <v>1183</v>
      </c>
      <c r="C238" s="266" t="s">
        <v>632</v>
      </c>
      <c r="D238" s="265" t="s">
        <v>40</v>
      </c>
      <c r="E238" s="265" t="s">
        <v>633</v>
      </c>
      <c r="F238" s="267" t="s">
        <v>43</v>
      </c>
      <c r="G238" s="279">
        <v>1</v>
      </c>
      <c r="H238" s="268">
        <v>36.79</v>
      </c>
      <c r="I238" s="268">
        <f>4.43*1.2488</f>
        <v>5.5321839999999991</v>
      </c>
      <c r="J238" s="268">
        <f>32.36*1.2488</f>
        <v>40.411167999999996</v>
      </c>
      <c r="K238" s="268">
        <f t="shared" si="58"/>
        <v>45.943351999999997</v>
      </c>
      <c r="L238" s="268">
        <f t="shared" si="59"/>
        <v>5.5321839999999991</v>
      </c>
      <c r="M238" s="268">
        <f t="shared" si="60"/>
        <v>40.411167999999996</v>
      </c>
      <c r="N238" s="268">
        <f t="shared" si="61"/>
        <v>45.943351999999997</v>
      </c>
      <c r="O238" s="269">
        <f t="shared" si="42"/>
        <v>2.0040339541288529E-5</v>
      </c>
      <c r="P238" s="44"/>
      <c r="Q238" s="49"/>
      <c r="R238" s="124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4"/>
      <c r="AI238" s="44"/>
      <c r="AJ238" s="44"/>
    </row>
    <row r="239" spans="1:36" ht="27.6" x14ac:dyDescent="0.25">
      <c r="A239" s="94"/>
      <c r="B239" s="265" t="s">
        <v>1184</v>
      </c>
      <c r="C239" s="266" t="s">
        <v>398</v>
      </c>
      <c r="D239" s="265" t="s">
        <v>40</v>
      </c>
      <c r="E239" s="265" t="s">
        <v>399</v>
      </c>
      <c r="F239" s="267" t="s">
        <v>54</v>
      </c>
      <c r="G239" s="279">
        <v>298.60000000000002</v>
      </c>
      <c r="H239" s="268">
        <v>30.48</v>
      </c>
      <c r="I239" s="268">
        <f>20.02*1.2488</f>
        <v>25.000975999999998</v>
      </c>
      <c r="J239" s="268">
        <f>10.46*1.2488</f>
        <v>13.062448</v>
      </c>
      <c r="K239" s="268">
        <f t="shared" si="58"/>
        <v>38.063423999999998</v>
      </c>
      <c r="L239" s="268">
        <f t="shared" si="59"/>
        <v>7465.2914336000003</v>
      </c>
      <c r="M239" s="268">
        <f t="shared" si="60"/>
        <v>3900.4469728000004</v>
      </c>
      <c r="N239" s="268">
        <v>11364.72</v>
      </c>
      <c r="O239" s="269">
        <f t="shared" si="42"/>
        <v>4.9572536107437828E-3</v>
      </c>
      <c r="P239" s="44"/>
      <c r="Q239" s="49"/>
      <c r="R239" s="124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4"/>
      <c r="AI239" s="44"/>
      <c r="AJ239" s="44"/>
    </row>
    <row r="240" spans="1:36" ht="27.6" x14ac:dyDescent="0.25">
      <c r="A240" s="94"/>
      <c r="B240" s="265" t="s">
        <v>1185</v>
      </c>
      <c r="C240" s="266" t="s">
        <v>638</v>
      </c>
      <c r="D240" s="265" t="s">
        <v>40</v>
      </c>
      <c r="E240" s="265" t="s">
        <v>639</v>
      </c>
      <c r="F240" s="267" t="s">
        <v>54</v>
      </c>
      <c r="G240" s="279">
        <v>31.4</v>
      </c>
      <c r="H240" s="268">
        <v>40.56</v>
      </c>
      <c r="I240" s="268">
        <f>23.85*1.2488</f>
        <v>29.78388</v>
      </c>
      <c r="J240" s="268">
        <f>16.71*1.2488</f>
        <v>20.867448</v>
      </c>
      <c r="K240" s="268">
        <f t="shared" si="58"/>
        <v>50.651327999999999</v>
      </c>
      <c r="L240" s="268">
        <f t="shared" si="59"/>
        <v>935.21383199999991</v>
      </c>
      <c r="M240" s="268">
        <f t="shared" si="60"/>
        <v>655.23786719999998</v>
      </c>
      <c r="N240" s="268">
        <v>1590.41</v>
      </c>
      <c r="O240" s="269">
        <f t="shared" si="42"/>
        <v>6.9373162867743504E-4</v>
      </c>
      <c r="P240" s="44"/>
      <c r="Q240" s="49"/>
      <c r="R240" s="124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4"/>
      <c r="AI240" s="44"/>
      <c r="AJ240" s="44"/>
    </row>
    <row r="241" spans="1:36" ht="27.6" x14ac:dyDescent="0.25">
      <c r="A241" s="94"/>
      <c r="B241" s="265" t="s">
        <v>1186</v>
      </c>
      <c r="C241" s="266" t="s">
        <v>1048</v>
      </c>
      <c r="D241" s="265" t="s">
        <v>40</v>
      </c>
      <c r="E241" s="265" t="s">
        <v>1049</v>
      </c>
      <c r="F241" s="267" t="s">
        <v>54</v>
      </c>
      <c r="G241" s="279">
        <v>0.1</v>
      </c>
      <c r="H241" s="268">
        <v>16.739999999999998</v>
      </c>
      <c r="I241" s="268">
        <f>1.47*1.2488</f>
        <v>1.8357359999999998</v>
      </c>
      <c r="J241" s="268">
        <f>15.27*1.2488</f>
        <v>19.069175999999999</v>
      </c>
      <c r="K241" s="268">
        <f t="shared" si="58"/>
        <v>20.904911999999999</v>
      </c>
      <c r="L241" s="268">
        <f t="shared" si="59"/>
        <v>0.1835736</v>
      </c>
      <c r="M241" s="268">
        <f t="shared" si="60"/>
        <v>1.9069175999999999</v>
      </c>
      <c r="N241" s="268">
        <f t="shared" si="61"/>
        <v>2.0904911999999998</v>
      </c>
      <c r="O241" s="269">
        <f t="shared" si="42"/>
        <v>9.1186540886428372E-7</v>
      </c>
      <c r="P241" s="44"/>
      <c r="Q241" s="49"/>
      <c r="R241" s="124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4"/>
      <c r="AI241" s="44"/>
      <c r="AJ241" s="44"/>
    </row>
    <row r="242" spans="1:36" ht="27.6" x14ac:dyDescent="0.25">
      <c r="A242" s="94"/>
      <c r="B242" s="265" t="s">
        <v>1187</v>
      </c>
      <c r="C242" s="266" t="s">
        <v>197</v>
      </c>
      <c r="D242" s="265" t="s">
        <v>40</v>
      </c>
      <c r="E242" s="265" t="s">
        <v>198</v>
      </c>
      <c r="F242" s="267" t="s">
        <v>43</v>
      </c>
      <c r="G242" s="279">
        <v>37</v>
      </c>
      <c r="H242" s="268">
        <v>12.61</v>
      </c>
      <c r="I242" s="268">
        <f>7.78*1.2488</f>
        <v>9.7156640000000003</v>
      </c>
      <c r="J242" s="268">
        <f>4.43*1.2488</f>
        <v>5.5321839999999991</v>
      </c>
      <c r="K242" s="268">
        <f t="shared" si="58"/>
        <v>15.247847999999999</v>
      </c>
      <c r="L242" s="268">
        <f t="shared" si="59"/>
        <v>359.47956800000003</v>
      </c>
      <c r="M242" s="268">
        <f t="shared" si="60"/>
        <v>204.69080799999998</v>
      </c>
      <c r="N242" s="268">
        <v>564.25</v>
      </c>
      <c r="O242" s="269">
        <f t="shared" si="42"/>
        <v>2.4612400040319334E-4</v>
      </c>
      <c r="P242" s="44"/>
      <c r="Q242" s="49"/>
      <c r="R242" s="124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4"/>
      <c r="AI242" s="44"/>
      <c r="AJ242" s="44"/>
    </row>
    <row r="243" spans="1:36" ht="27.6" x14ac:dyDescent="0.25">
      <c r="A243" s="94"/>
      <c r="B243" s="265" t="s">
        <v>1188</v>
      </c>
      <c r="C243" s="266" t="s">
        <v>640</v>
      </c>
      <c r="D243" s="265" t="s">
        <v>40</v>
      </c>
      <c r="E243" s="265" t="s">
        <v>641</v>
      </c>
      <c r="F243" s="267" t="s">
        <v>43</v>
      </c>
      <c r="G243" s="279">
        <v>1</v>
      </c>
      <c r="H243" s="268">
        <v>12.46</v>
      </c>
      <c r="I243" s="268">
        <f>5.27*1.2488</f>
        <v>6.5811759999999992</v>
      </c>
      <c r="J243" s="268">
        <f>7.19*1.2488</f>
        <v>8.9788719999999991</v>
      </c>
      <c r="K243" s="268">
        <f t="shared" si="58"/>
        <v>15.560047999999998</v>
      </c>
      <c r="L243" s="268">
        <f t="shared" si="59"/>
        <v>6.5811759999999992</v>
      </c>
      <c r="M243" s="268">
        <f t="shared" si="60"/>
        <v>8.9788719999999991</v>
      </c>
      <c r="N243" s="268">
        <f t="shared" si="61"/>
        <v>15.560047999999998</v>
      </c>
      <c r="O243" s="269">
        <f t="shared" si="42"/>
        <v>6.7872419321678464E-6</v>
      </c>
      <c r="P243" s="44"/>
      <c r="Q243" s="49"/>
      <c r="R243" s="124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4"/>
      <c r="AI243" s="44"/>
      <c r="AJ243" s="44"/>
    </row>
    <row r="244" spans="1:36" ht="27.6" x14ac:dyDescent="0.25">
      <c r="A244" s="94"/>
      <c r="B244" s="265" t="s">
        <v>1189</v>
      </c>
      <c r="C244" s="266" t="s">
        <v>604</v>
      </c>
      <c r="D244" s="265" t="s">
        <v>40</v>
      </c>
      <c r="E244" s="265" t="s">
        <v>605</v>
      </c>
      <c r="F244" s="267" t="s">
        <v>43</v>
      </c>
      <c r="G244" s="279">
        <v>2</v>
      </c>
      <c r="H244" s="268">
        <v>35.450000000000003</v>
      </c>
      <c r="I244" s="268">
        <f>13.74*1.2488</f>
        <v>17.158511999999998</v>
      </c>
      <c r="J244" s="268">
        <f>21.71*1.2488</f>
        <v>27.111447999999999</v>
      </c>
      <c r="K244" s="268">
        <f t="shared" si="58"/>
        <v>44.269959999999998</v>
      </c>
      <c r="L244" s="268">
        <f t="shared" si="59"/>
        <v>34.317023999999996</v>
      </c>
      <c r="M244" s="268">
        <f t="shared" si="60"/>
        <v>54.222895999999999</v>
      </c>
      <c r="N244" s="268">
        <f t="shared" si="61"/>
        <v>88.539919999999995</v>
      </c>
      <c r="O244" s="269">
        <f t="shared" si="42"/>
        <v>3.8620822872447861E-5</v>
      </c>
      <c r="P244" s="44"/>
      <c r="Q244" s="49"/>
      <c r="R244" s="124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4"/>
      <c r="AI244" s="44"/>
      <c r="AJ244" s="44"/>
    </row>
    <row r="245" spans="1:36" ht="27.6" x14ac:dyDescent="0.25">
      <c r="A245" s="94"/>
      <c r="B245" s="265" t="s">
        <v>1190</v>
      </c>
      <c r="C245" s="266" t="s">
        <v>642</v>
      </c>
      <c r="D245" s="265" t="s">
        <v>40</v>
      </c>
      <c r="E245" s="265" t="s">
        <v>643</v>
      </c>
      <c r="F245" s="267" t="s">
        <v>43</v>
      </c>
      <c r="G245" s="279">
        <v>15</v>
      </c>
      <c r="H245" s="268">
        <v>23.56</v>
      </c>
      <c r="I245" s="268">
        <f>11.7*1.2488</f>
        <v>14.610959999999999</v>
      </c>
      <c r="J245" s="268">
        <f>11.86*1.2488</f>
        <v>14.810767999999998</v>
      </c>
      <c r="K245" s="268">
        <f t="shared" si="58"/>
        <v>29.421727999999995</v>
      </c>
      <c r="L245" s="268">
        <f t="shared" si="59"/>
        <v>219.16439999999997</v>
      </c>
      <c r="M245" s="268">
        <f t="shared" si="60"/>
        <v>222.16151999999997</v>
      </c>
      <c r="N245" s="268">
        <v>441.3</v>
      </c>
      <c r="O245" s="269">
        <f t="shared" si="42"/>
        <v>1.9249361343009168E-4</v>
      </c>
      <c r="P245" s="44"/>
      <c r="Q245" s="49"/>
      <c r="R245" s="124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4"/>
      <c r="AI245" s="44"/>
      <c r="AJ245" s="44"/>
    </row>
    <row r="246" spans="1:36" ht="27.6" x14ac:dyDescent="0.25">
      <c r="A246" s="94"/>
      <c r="B246" s="265" t="s">
        <v>1191</v>
      </c>
      <c r="C246" s="266" t="s">
        <v>163</v>
      </c>
      <c r="D246" s="265" t="s">
        <v>40</v>
      </c>
      <c r="E246" s="265" t="s">
        <v>164</v>
      </c>
      <c r="F246" s="267" t="s">
        <v>43</v>
      </c>
      <c r="G246" s="279">
        <v>1</v>
      </c>
      <c r="H246" s="268">
        <v>21.65</v>
      </c>
      <c r="I246" s="268">
        <f>6.93*1.2488</f>
        <v>8.654183999999999</v>
      </c>
      <c r="J246" s="268">
        <f>14.72*1.2488</f>
        <v>18.382335999999999</v>
      </c>
      <c r="K246" s="268">
        <f t="shared" si="58"/>
        <v>27.036519999999996</v>
      </c>
      <c r="L246" s="268">
        <f t="shared" si="59"/>
        <v>8.654183999999999</v>
      </c>
      <c r="M246" s="268">
        <f t="shared" si="60"/>
        <v>18.382335999999999</v>
      </c>
      <c r="N246" s="268">
        <f t="shared" si="61"/>
        <v>27.036519999999996</v>
      </c>
      <c r="O246" s="269">
        <f t="shared" si="42"/>
        <v>1.1793241398991483E-5</v>
      </c>
      <c r="P246" s="44"/>
      <c r="Q246" s="49"/>
      <c r="R246" s="124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4"/>
      <c r="AI246" s="44"/>
      <c r="AJ246" s="44"/>
    </row>
    <row r="247" spans="1:36" ht="27.6" x14ac:dyDescent="0.25">
      <c r="A247" s="94"/>
      <c r="B247" s="265" t="s">
        <v>1192</v>
      </c>
      <c r="C247" s="266" t="s">
        <v>161</v>
      </c>
      <c r="D247" s="265" t="s">
        <v>40</v>
      </c>
      <c r="E247" s="265" t="s">
        <v>162</v>
      </c>
      <c r="F247" s="267" t="s">
        <v>43</v>
      </c>
      <c r="G247" s="279">
        <v>8</v>
      </c>
      <c r="H247" s="268">
        <v>18.57</v>
      </c>
      <c r="I247" s="268">
        <f>7.45*1.2488</f>
        <v>9.3035599999999992</v>
      </c>
      <c r="J247" s="268">
        <f>11.12*1.2488</f>
        <v>13.886655999999999</v>
      </c>
      <c r="K247" s="268">
        <f t="shared" si="58"/>
        <v>23.190215999999999</v>
      </c>
      <c r="L247" s="268">
        <f t="shared" si="59"/>
        <v>74.428479999999993</v>
      </c>
      <c r="M247" s="268">
        <f t="shared" si="60"/>
        <v>111.09324799999999</v>
      </c>
      <c r="N247" s="268">
        <f t="shared" si="61"/>
        <v>185.521728</v>
      </c>
      <c r="O247" s="269">
        <f t="shared" si="42"/>
        <v>8.0923969618206686E-5</v>
      </c>
      <c r="P247" s="44"/>
      <c r="Q247" s="49"/>
      <c r="R247" s="124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4"/>
      <c r="AI247" s="44"/>
      <c r="AJ247" s="44"/>
    </row>
    <row r="248" spans="1:36" ht="27.6" x14ac:dyDescent="0.25">
      <c r="A248" s="94"/>
      <c r="B248" s="265" t="s">
        <v>1193</v>
      </c>
      <c r="C248" s="266" t="s">
        <v>158</v>
      </c>
      <c r="D248" s="265" t="s">
        <v>40</v>
      </c>
      <c r="E248" s="265" t="s">
        <v>159</v>
      </c>
      <c r="F248" s="267" t="s">
        <v>43</v>
      </c>
      <c r="G248" s="279">
        <v>49</v>
      </c>
      <c r="H248" s="268">
        <v>15.15</v>
      </c>
      <c r="I248" s="268">
        <f>6.91*1.2488</f>
        <v>8.6292080000000002</v>
      </c>
      <c r="J248" s="268">
        <f>8.24*1.2488</f>
        <v>10.290111999999999</v>
      </c>
      <c r="K248" s="268">
        <f t="shared" si="58"/>
        <v>18.919319999999999</v>
      </c>
      <c r="L248" s="268">
        <f t="shared" si="59"/>
        <v>422.83119199999999</v>
      </c>
      <c r="M248" s="268">
        <f t="shared" si="60"/>
        <v>504.21548799999994</v>
      </c>
      <c r="N248" s="268">
        <v>927.08</v>
      </c>
      <c r="O248" s="269">
        <f t="shared" ref="O248:O311" si="62">N248/$N$472</f>
        <v>4.0438925705590164E-4</v>
      </c>
      <c r="P248" s="44"/>
      <c r="Q248" s="49"/>
      <c r="R248" s="124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4"/>
      <c r="AI248" s="44"/>
      <c r="AJ248" s="44"/>
    </row>
    <row r="249" spans="1:36" x14ac:dyDescent="0.25">
      <c r="A249" s="94"/>
      <c r="B249" s="265" t="s">
        <v>1194</v>
      </c>
      <c r="C249" s="266" t="s">
        <v>1736</v>
      </c>
      <c r="D249" s="265" t="s">
        <v>1546</v>
      </c>
      <c r="E249" s="265" t="s">
        <v>874</v>
      </c>
      <c r="F249" s="267" t="s">
        <v>43</v>
      </c>
      <c r="G249" s="279">
        <v>1</v>
      </c>
      <c r="H249" s="268">
        <f>CPUS!L149</f>
        <v>12712.315479999999</v>
      </c>
      <c r="I249" s="268">
        <f>(CPUS!L146+CPUS!L147)*1.2488</f>
        <v>366.30485942399991</v>
      </c>
      <c r="J249" s="268">
        <f>CPUS!L148*1.2488</f>
        <v>15508.834711999998</v>
      </c>
      <c r="K249" s="268">
        <f t="shared" ref="K249" si="63">I249+J249</f>
        <v>15875.139571423999</v>
      </c>
      <c r="L249" s="268">
        <f t="shared" ref="L249" si="64">G249*I249</f>
        <v>366.30485942399991</v>
      </c>
      <c r="M249" s="268">
        <f t="shared" ref="M249" si="65">G249*J249</f>
        <v>15508.834711999998</v>
      </c>
      <c r="N249" s="268">
        <f t="shared" ref="N249" si="66">L249+M249</f>
        <v>15875.139571423999</v>
      </c>
      <c r="O249" s="269">
        <f t="shared" si="62"/>
        <v>6.9246838427610294E-3</v>
      </c>
      <c r="P249" s="44"/>
      <c r="Q249" s="49"/>
      <c r="R249" s="124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4"/>
      <c r="AI249" s="44"/>
      <c r="AJ249" s="44"/>
    </row>
    <row r="250" spans="1:36" x14ac:dyDescent="0.25">
      <c r="A250" s="94"/>
      <c r="B250" s="265" t="s">
        <v>1195</v>
      </c>
      <c r="C250" s="266" t="s">
        <v>1050</v>
      </c>
      <c r="D250" s="265" t="s">
        <v>200</v>
      </c>
      <c r="E250" s="265" t="s">
        <v>1051</v>
      </c>
      <c r="F250" s="267" t="s">
        <v>165</v>
      </c>
      <c r="G250" s="279">
        <v>1</v>
      </c>
      <c r="H250" s="268">
        <v>10433.93</v>
      </c>
      <c r="I250" s="268">
        <f>116.96*1.2488</f>
        <v>146.05964799999998</v>
      </c>
      <c r="J250" s="268">
        <f>10316.97*1.2488</f>
        <v>12883.832135999999</v>
      </c>
      <c r="K250" s="268">
        <f>I250+J250</f>
        <v>13029.891783999999</v>
      </c>
      <c r="L250" s="268">
        <f>G250*I250</f>
        <v>146.05964799999998</v>
      </c>
      <c r="M250" s="268">
        <f>G250*J250</f>
        <v>12883.832135999999</v>
      </c>
      <c r="N250" s="268">
        <f>L250+M250</f>
        <v>13029.891783999999</v>
      </c>
      <c r="O250" s="269">
        <f t="shared" si="62"/>
        <v>5.6835960845348366E-3</v>
      </c>
      <c r="P250" s="44"/>
      <c r="Q250" s="49"/>
      <c r="R250" s="124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4"/>
      <c r="AI250" s="44"/>
      <c r="AJ250" s="44"/>
    </row>
    <row r="251" spans="1:36" ht="27.6" x14ac:dyDescent="0.25">
      <c r="A251" s="94"/>
      <c r="B251" s="265" t="s">
        <v>1196</v>
      </c>
      <c r="C251" s="266" t="s">
        <v>636</v>
      </c>
      <c r="D251" s="265" t="s">
        <v>40</v>
      </c>
      <c r="E251" s="265" t="s">
        <v>637</v>
      </c>
      <c r="F251" s="267" t="s">
        <v>43</v>
      </c>
      <c r="G251" s="279">
        <v>8</v>
      </c>
      <c r="H251" s="268">
        <v>18.82</v>
      </c>
      <c r="I251" s="268">
        <f>8.53*1.2488</f>
        <v>10.652263999999999</v>
      </c>
      <c r="J251" s="268">
        <f>10.29*1.2488</f>
        <v>12.850151999999998</v>
      </c>
      <c r="K251" s="268">
        <f>I251+J251</f>
        <v>23.502415999999997</v>
      </c>
      <c r="L251" s="268">
        <f>G251*I251</f>
        <v>85.218111999999991</v>
      </c>
      <c r="M251" s="268">
        <f>G251*J251</f>
        <v>102.80121599999998</v>
      </c>
      <c r="N251" s="268">
        <v>188</v>
      </c>
      <c r="O251" s="269">
        <f t="shared" si="62"/>
        <v>8.2004983740895611E-5</v>
      </c>
      <c r="P251" s="44"/>
      <c r="Q251" s="49"/>
      <c r="R251" s="124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4"/>
      <c r="AI251" s="44"/>
      <c r="AJ251" s="44"/>
    </row>
    <row r="252" spans="1:36" x14ac:dyDescent="0.25">
      <c r="A252" s="94"/>
      <c r="B252" s="265" t="s">
        <v>1197</v>
      </c>
      <c r="C252" s="266" t="s">
        <v>1052</v>
      </c>
      <c r="D252" s="265" t="s">
        <v>144</v>
      </c>
      <c r="E252" s="265" t="s">
        <v>1053</v>
      </c>
      <c r="F252" s="267" t="s">
        <v>201</v>
      </c>
      <c r="G252" s="279">
        <v>1</v>
      </c>
      <c r="H252" s="268">
        <v>906.45</v>
      </c>
      <c r="I252" s="268">
        <f>26.96*1.2488</f>
        <v>33.667648</v>
      </c>
      <c r="J252" s="268">
        <f>879.49*1.2488</f>
        <v>1098.307112</v>
      </c>
      <c r="K252" s="268">
        <f>I252+J252</f>
        <v>1131.9747600000001</v>
      </c>
      <c r="L252" s="268">
        <f>G252*I252</f>
        <v>33.667648</v>
      </c>
      <c r="M252" s="268">
        <f>G252*J252</f>
        <v>1098.307112</v>
      </c>
      <c r="N252" s="268">
        <f>L252+M252</f>
        <v>1131.9747600000001</v>
      </c>
      <c r="O252" s="269">
        <f t="shared" si="62"/>
        <v>4.9376367972821396E-4</v>
      </c>
      <c r="P252" s="44"/>
      <c r="Q252" s="49"/>
      <c r="R252" s="124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4"/>
      <c r="AI252" s="44"/>
      <c r="AJ252" s="44"/>
    </row>
    <row r="253" spans="1:36" ht="27.6" x14ac:dyDescent="0.25">
      <c r="A253" s="94"/>
      <c r="B253" s="265" t="s">
        <v>1198</v>
      </c>
      <c r="C253" s="266" t="s">
        <v>644</v>
      </c>
      <c r="D253" s="265" t="s">
        <v>200</v>
      </c>
      <c r="E253" s="265" t="s">
        <v>783</v>
      </c>
      <c r="F253" s="267" t="s">
        <v>394</v>
      </c>
      <c r="G253" s="279">
        <v>1</v>
      </c>
      <c r="H253" s="268">
        <v>7135.6</v>
      </c>
      <c r="I253" s="268">
        <f>84.82*1.2488</f>
        <v>105.92321599999998</v>
      </c>
      <c r="J253" s="268">
        <f>7050.78*1.2488</f>
        <v>8805.0140639999991</v>
      </c>
      <c r="K253" s="268">
        <f>I253+J253</f>
        <v>8910.9372799999983</v>
      </c>
      <c r="L253" s="268">
        <f>G253*I253</f>
        <v>105.92321599999998</v>
      </c>
      <c r="M253" s="268">
        <f>G253*J253</f>
        <v>8805.0140639999991</v>
      </c>
      <c r="N253" s="268">
        <f>L253+M253</f>
        <v>8910.9372799999983</v>
      </c>
      <c r="O253" s="269">
        <f t="shared" si="62"/>
        <v>3.8869216317156405E-3</v>
      </c>
      <c r="P253" s="44"/>
      <c r="Q253" s="49"/>
      <c r="R253" s="124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4"/>
      <c r="AI253" s="44"/>
      <c r="AJ253" s="44"/>
    </row>
    <row r="254" spans="1:36" x14ac:dyDescent="0.25">
      <c r="A254" s="94"/>
      <c r="B254" s="261" t="s">
        <v>264</v>
      </c>
      <c r="C254" s="261"/>
      <c r="D254" s="261"/>
      <c r="E254" s="261" t="s">
        <v>177</v>
      </c>
      <c r="F254" s="261"/>
      <c r="G254" s="278"/>
      <c r="H254" s="262"/>
      <c r="I254" s="261"/>
      <c r="J254" s="261"/>
      <c r="K254" s="261"/>
      <c r="L254" s="261"/>
      <c r="M254" s="261"/>
      <c r="N254" s="263">
        <f>SUM(N255:N292)</f>
        <v>81453.647496000005</v>
      </c>
      <c r="O254" s="264">
        <f>N254/$N$472</f>
        <v>3.5529814034819807E-2</v>
      </c>
      <c r="P254" s="44"/>
      <c r="Q254" s="49"/>
      <c r="R254" s="124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4"/>
      <c r="AI254" s="44"/>
      <c r="AJ254" s="44"/>
    </row>
    <row r="255" spans="1:36" ht="27.6" x14ac:dyDescent="0.25">
      <c r="A255" s="94"/>
      <c r="B255" s="265" t="s">
        <v>578</v>
      </c>
      <c r="C255" s="266" t="s">
        <v>648</v>
      </c>
      <c r="D255" s="265" t="s">
        <v>40</v>
      </c>
      <c r="E255" s="265" t="s">
        <v>649</v>
      </c>
      <c r="F255" s="267" t="s">
        <v>43</v>
      </c>
      <c r="G255" s="279">
        <v>1</v>
      </c>
      <c r="H255" s="268">
        <v>55.64</v>
      </c>
      <c r="I255" s="268">
        <f>20.98*1.2488</f>
        <v>26.199824</v>
      </c>
      <c r="J255" s="268">
        <f>34.66*1.2488</f>
        <v>43.283407999999994</v>
      </c>
      <c r="K255" s="268">
        <f t="shared" ref="K255:K281" si="67">I255+J255</f>
        <v>69.483231999999987</v>
      </c>
      <c r="L255" s="268">
        <f t="shared" ref="L255:L281" si="68">G255*I255</f>
        <v>26.199824</v>
      </c>
      <c r="M255" s="268">
        <f t="shared" ref="M255:M281" si="69">G255*J255</f>
        <v>43.283407999999994</v>
      </c>
      <c r="N255" s="268">
        <f t="shared" ref="N255:N281" si="70">L255+M255</f>
        <v>69.483231999999987</v>
      </c>
      <c r="O255" s="269">
        <f t="shared" si="62"/>
        <v>3.0308358034174877E-5</v>
      </c>
      <c r="P255" s="44"/>
      <c r="Q255" s="49"/>
      <c r="R255" s="124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4"/>
      <c r="AI255" s="44"/>
      <c r="AJ255" s="44"/>
    </row>
    <row r="256" spans="1:36" x14ac:dyDescent="0.25">
      <c r="A256" s="94"/>
      <c r="B256" s="265" t="s">
        <v>1199</v>
      </c>
      <c r="C256" s="266" t="s">
        <v>1476</v>
      </c>
      <c r="D256" s="265" t="s">
        <v>200</v>
      </c>
      <c r="E256" s="265" t="s">
        <v>1477</v>
      </c>
      <c r="F256" s="267" t="s">
        <v>1478</v>
      </c>
      <c r="G256" s="279">
        <v>4</v>
      </c>
      <c r="H256" s="268">
        <v>348.09</v>
      </c>
      <c r="I256" s="268">
        <f>238.34*1.2488</f>
        <v>297.63899199999997</v>
      </c>
      <c r="J256" s="268">
        <f>109.75*1.2488</f>
        <v>137.05579999999998</v>
      </c>
      <c r="K256" s="268">
        <f t="shared" si="67"/>
        <v>434.69479199999995</v>
      </c>
      <c r="L256" s="268">
        <f t="shared" si="68"/>
        <v>1190.5559679999999</v>
      </c>
      <c r="M256" s="268">
        <f t="shared" si="69"/>
        <v>548.22319999999991</v>
      </c>
      <c r="N256" s="268">
        <v>1738.76</v>
      </c>
      <c r="O256" s="269">
        <f t="shared" si="62"/>
        <v>7.5844141238999812E-4</v>
      </c>
      <c r="P256" s="44"/>
      <c r="Q256" s="49"/>
      <c r="R256" s="124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4"/>
      <c r="AI256" s="44"/>
      <c r="AJ256" s="44"/>
    </row>
    <row r="257" spans="1:36" ht="27.6" x14ac:dyDescent="0.25">
      <c r="A257" s="94"/>
      <c r="B257" s="265" t="s">
        <v>1200</v>
      </c>
      <c r="C257" s="266" t="s">
        <v>178</v>
      </c>
      <c r="D257" s="265" t="s">
        <v>40</v>
      </c>
      <c r="E257" s="265" t="s">
        <v>179</v>
      </c>
      <c r="F257" s="267" t="s">
        <v>43</v>
      </c>
      <c r="G257" s="279">
        <v>17</v>
      </c>
      <c r="H257" s="268">
        <v>78.25</v>
      </c>
      <c r="I257" s="268">
        <f>22.25*1.2488</f>
        <v>27.785799999999998</v>
      </c>
      <c r="J257" s="268">
        <f>56*1.2488</f>
        <v>69.9328</v>
      </c>
      <c r="K257" s="268">
        <f t="shared" si="67"/>
        <v>97.718599999999995</v>
      </c>
      <c r="L257" s="268">
        <f t="shared" si="68"/>
        <v>472.35859999999997</v>
      </c>
      <c r="M257" s="268">
        <f t="shared" si="69"/>
        <v>1188.8576</v>
      </c>
      <c r="N257" s="268">
        <v>1661.24</v>
      </c>
      <c r="O257" s="269">
        <f t="shared" si="62"/>
        <v>7.2462744249853948E-4</v>
      </c>
      <c r="P257" s="44"/>
      <c r="Q257" s="49"/>
      <c r="R257" s="124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4"/>
      <c r="AI257" s="44"/>
      <c r="AJ257" s="44"/>
    </row>
    <row r="258" spans="1:36" ht="27.6" x14ac:dyDescent="0.25">
      <c r="A258" s="94"/>
      <c r="B258" s="265" t="s">
        <v>1201</v>
      </c>
      <c r="C258" s="266" t="s">
        <v>650</v>
      </c>
      <c r="D258" s="265" t="s">
        <v>40</v>
      </c>
      <c r="E258" s="265" t="s">
        <v>651</v>
      </c>
      <c r="F258" s="267" t="s">
        <v>43</v>
      </c>
      <c r="G258" s="279">
        <v>1</v>
      </c>
      <c r="H258" s="268">
        <v>111.8</v>
      </c>
      <c r="I258" s="268">
        <f>25.13*1.2488</f>
        <v>31.382343999999996</v>
      </c>
      <c r="J258" s="268">
        <f>86.67*1.2488</f>
        <v>108.23349599999999</v>
      </c>
      <c r="K258" s="268">
        <f t="shared" si="67"/>
        <v>139.61583999999999</v>
      </c>
      <c r="L258" s="268">
        <f t="shared" si="68"/>
        <v>31.382343999999996</v>
      </c>
      <c r="M258" s="268">
        <f t="shared" si="69"/>
        <v>108.23349599999999</v>
      </c>
      <c r="N258" s="268">
        <f t="shared" si="70"/>
        <v>139.61583999999999</v>
      </c>
      <c r="O258" s="269">
        <f t="shared" si="62"/>
        <v>6.089997175091214E-5</v>
      </c>
      <c r="P258" s="44"/>
      <c r="Q258" s="49"/>
      <c r="R258" s="124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4"/>
      <c r="AI258" s="44"/>
      <c r="AJ258" s="44"/>
    </row>
    <row r="259" spans="1:36" ht="27.6" x14ac:dyDescent="0.25">
      <c r="A259" s="94"/>
      <c r="B259" s="265" t="s">
        <v>1202</v>
      </c>
      <c r="C259" s="266" t="s">
        <v>341</v>
      </c>
      <c r="D259" s="265" t="s">
        <v>40</v>
      </c>
      <c r="E259" s="265" t="s">
        <v>342</v>
      </c>
      <c r="F259" s="267" t="s">
        <v>43</v>
      </c>
      <c r="G259" s="279">
        <v>3</v>
      </c>
      <c r="H259" s="268">
        <v>24.13</v>
      </c>
      <c r="I259" s="268">
        <f>8.68*1.2488</f>
        <v>10.839583999999999</v>
      </c>
      <c r="J259" s="268">
        <f>15.45*1.2488</f>
        <v>19.293959999999998</v>
      </c>
      <c r="K259" s="268">
        <f t="shared" si="67"/>
        <v>30.133543999999997</v>
      </c>
      <c r="L259" s="268">
        <f t="shared" si="68"/>
        <v>32.518751999999992</v>
      </c>
      <c r="M259" s="268">
        <f t="shared" si="69"/>
        <v>57.881879999999995</v>
      </c>
      <c r="N259" s="268">
        <v>90.39</v>
      </c>
      <c r="O259" s="269">
        <f t="shared" si="62"/>
        <v>3.9427821703933798E-5</v>
      </c>
      <c r="P259" s="44"/>
      <c r="Q259" s="49"/>
      <c r="R259" s="124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4"/>
      <c r="AI259" s="44"/>
      <c r="AJ259" s="44"/>
    </row>
    <row r="260" spans="1:36" x14ac:dyDescent="0.25">
      <c r="A260" s="94"/>
      <c r="B260" s="265" t="s">
        <v>1203</v>
      </c>
      <c r="C260" s="266" t="s">
        <v>260</v>
      </c>
      <c r="D260" s="265" t="s">
        <v>40</v>
      </c>
      <c r="E260" s="265" t="s">
        <v>261</v>
      </c>
      <c r="F260" s="267" t="s">
        <v>43</v>
      </c>
      <c r="G260" s="279">
        <v>29</v>
      </c>
      <c r="H260" s="268">
        <v>15.07</v>
      </c>
      <c r="I260" s="268">
        <f>3.02*1.2488</f>
        <v>3.7713759999999996</v>
      </c>
      <c r="J260" s="268">
        <f>12.05*1.2488</f>
        <v>15.04804</v>
      </c>
      <c r="K260" s="268">
        <f t="shared" si="67"/>
        <v>18.819416</v>
      </c>
      <c r="L260" s="268">
        <f t="shared" si="68"/>
        <v>109.36990399999999</v>
      </c>
      <c r="M260" s="268">
        <f t="shared" si="69"/>
        <v>436.39316000000002</v>
      </c>
      <c r="N260" s="268">
        <v>545.78</v>
      </c>
      <c r="O260" s="269">
        <f t="shared" si="62"/>
        <v>2.3806744694737238E-4</v>
      </c>
      <c r="P260" s="44"/>
      <c r="Q260" s="49"/>
      <c r="R260" s="124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4"/>
      <c r="AI260" s="44"/>
      <c r="AJ260" s="44"/>
    </row>
    <row r="261" spans="1:36" ht="27.6" x14ac:dyDescent="0.25">
      <c r="A261" s="94"/>
      <c r="B261" s="265" t="s">
        <v>1204</v>
      </c>
      <c r="C261" s="266" t="s">
        <v>387</v>
      </c>
      <c r="D261" s="265" t="s">
        <v>40</v>
      </c>
      <c r="E261" s="265" t="s">
        <v>1056</v>
      </c>
      <c r="F261" s="267" t="s">
        <v>43</v>
      </c>
      <c r="G261" s="279">
        <v>30</v>
      </c>
      <c r="H261" s="268">
        <v>785.85</v>
      </c>
      <c r="I261" s="268">
        <f>79.67*1.2488</f>
        <v>99.491895999999997</v>
      </c>
      <c r="J261" s="268">
        <f>706.18*1.2488</f>
        <v>881.87758399999984</v>
      </c>
      <c r="K261" s="268">
        <f t="shared" si="67"/>
        <v>981.36947999999984</v>
      </c>
      <c r="L261" s="268">
        <f t="shared" si="68"/>
        <v>2984.7568799999999</v>
      </c>
      <c r="M261" s="268">
        <f t="shared" si="69"/>
        <v>26456.327519999995</v>
      </c>
      <c r="N261" s="268">
        <v>29441.1</v>
      </c>
      <c r="O261" s="269">
        <f t="shared" si="62"/>
        <v>1.2842111312840861E-2</v>
      </c>
      <c r="P261" s="44"/>
      <c r="Q261" s="49"/>
      <c r="R261" s="124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4"/>
      <c r="AI261" s="44"/>
      <c r="AJ261" s="44"/>
    </row>
    <row r="262" spans="1:36" ht="27.6" x14ac:dyDescent="0.25">
      <c r="A262" s="94"/>
      <c r="B262" s="265" t="s">
        <v>1205</v>
      </c>
      <c r="C262" s="266" t="s">
        <v>653</v>
      </c>
      <c r="D262" s="265" t="s">
        <v>40</v>
      </c>
      <c r="E262" s="265" t="s">
        <v>654</v>
      </c>
      <c r="F262" s="267" t="s">
        <v>43</v>
      </c>
      <c r="G262" s="279">
        <v>10</v>
      </c>
      <c r="H262" s="268">
        <v>71.11</v>
      </c>
      <c r="I262" s="268">
        <f>6.57*1.2488</f>
        <v>8.2046159999999997</v>
      </c>
      <c r="J262" s="268">
        <f>64.54*1.2488</f>
        <v>80.597552000000007</v>
      </c>
      <c r="K262" s="268">
        <f t="shared" si="67"/>
        <v>88.802168000000009</v>
      </c>
      <c r="L262" s="268">
        <f t="shared" si="68"/>
        <v>82.04616</v>
      </c>
      <c r="M262" s="268">
        <f t="shared" si="69"/>
        <v>805.97552000000007</v>
      </c>
      <c r="N262" s="268">
        <v>888</v>
      </c>
      <c r="O262" s="269">
        <f t="shared" si="62"/>
        <v>3.8734268915912397E-4</v>
      </c>
      <c r="P262" s="44"/>
      <c r="Q262" s="49"/>
      <c r="R262" s="124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4"/>
      <c r="AI262" s="44"/>
      <c r="AJ262" s="44"/>
    </row>
    <row r="263" spans="1:36" ht="27.6" x14ac:dyDescent="0.25">
      <c r="A263" s="94"/>
      <c r="B263" s="265" t="s">
        <v>1206</v>
      </c>
      <c r="C263" s="266" t="s">
        <v>608</v>
      </c>
      <c r="D263" s="265" t="s">
        <v>40</v>
      </c>
      <c r="E263" s="265" t="s">
        <v>609</v>
      </c>
      <c r="F263" s="267" t="s">
        <v>43</v>
      </c>
      <c r="G263" s="279">
        <v>8</v>
      </c>
      <c r="H263" s="268">
        <v>47.1</v>
      </c>
      <c r="I263" s="268">
        <f>11.42*1.2488</f>
        <v>14.261296</v>
      </c>
      <c r="J263" s="268">
        <f>35.68*1.2488</f>
        <v>44.557183999999999</v>
      </c>
      <c r="K263" s="268">
        <f t="shared" si="67"/>
        <v>58.818480000000001</v>
      </c>
      <c r="L263" s="268">
        <f t="shared" si="68"/>
        <v>114.090368</v>
      </c>
      <c r="M263" s="268">
        <f t="shared" si="69"/>
        <v>356.457472</v>
      </c>
      <c r="N263" s="268">
        <v>470.56</v>
      </c>
      <c r="O263" s="269">
        <f t="shared" si="62"/>
        <v>2.052567295165736E-4</v>
      </c>
      <c r="P263" s="44"/>
      <c r="Q263" s="49"/>
      <c r="R263" s="124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4"/>
      <c r="AI263" s="44"/>
      <c r="AJ263" s="44"/>
    </row>
    <row r="264" spans="1:36" ht="27.6" x14ac:dyDescent="0.25">
      <c r="A264" s="94"/>
      <c r="B264" s="265" t="s">
        <v>1207</v>
      </c>
      <c r="C264" s="266" t="s">
        <v>180</v>
      </c>
      <c r="D264" s="265" t="s">
        <v>40</v>
      </c>
      <c r="E264" s="265" t="s">
        <v>181</v>
      </c>
      <c r="F264" s="267" t="s">
        <v>43</v>
      </c>
      <c r="G264" s="279">
        <v>49</v>
      </c>
      <c r="H264" s="268">
        <v>15.43</v>
      </c>
      <c r="I264" s="268">
        <f>6.68*1.2488</f>
        <v>8.3419839999999983</v>
      </c>
      <c r="J264" s="268">
        <f>8.75*1.2488</f>
        <v>10.927</v>
      </c>
      <c r="K264" s="268">
        <f t="shared" si="67"/>
        <v>19.268983999999996</v>
      </c>
      <c r="L264" s="268">
        <f t="shared" si="68"/>
        <v>408.75721599999991</v>
      </c>
      <c r="M264" s="268">
        <f t="shared" si="69"/>
        <v>535.423</v>
      </c>
      <c r="N264" s="268">
        <v>944.23</v>
      </c>
      <c r="O264" s="269">
        <f t="shared" si="62"/>
        <v>4.118700308386482E-4</v>
      </c>
      <c r="P264" s="44"/>
      <c r="Q264" s="49"/>
      <c r="R264" s="124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4"/>
      <c r="AI264" s="44"/>
      <c r="AJ264" s="44"/>
    </row>
    <row r="265" spans="1:36" ht="27.6" x14ac:dyDescent="0.25">
      <c r="A265" s="94"/>
      <c r="B265" s="265" t="s">
        <v>1208</v>
      </c>
      <c r="C265" s="266" t="s">
        <v>182</v>
      </c>
      <c r="D265" s="265" t="s">
        <v>40</v>
      </c>
      <c r="E265" s="265" t="s">
        <v>183</v>
      </c>
      <c r="F265" s="267" t="s">
        <v>43</v>
      </c>
      <c r="G265" s="279">
        <v>25</v>
      </c>
      <c r="H265" s="268">
        <v>12.61</v>
      </c>
      <c r="I265" s="268">
        <f>6.69*1.2488</f>
        <v>8.3544719999999995</v>
      </c>
      <c r="J265" s="268">
        <f>5.92*1.2488</f>
        <v>7.3928959999999995</v>
      </c>
      <c r="K265" s="268">
        <f t="shared" si="67"/>
        <v>15.747367999999998</v>
      </c>
      <c r="L265" s="268">
        <f t="shared" si="68"/>
        <v>208.86179999999999</v>
      </c>
      <c r="M265" s="268">
        <f t="shared" si="69"/>
        <v>184.82239999999999</v>
      </c>
      <c r="N265" s="268">
        <v>393.75</v>
      </c>
      <c r="O265" s="269">
        <f t="shared" si="62"/>
        <v>1.7175245929775345E-4</v>
      </c>
      <c r="P265" s="44"/>
      <c r="Q265" s="49"/>
      <c r="R265" s="85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4"/>
      <c r="AI265" s="44"/>
      <c r="AJ265" s="44"/>
    </row>
    <row r="266" spans="1:36" ht="27.6" x14ac:dyDescent="0.25">
      <c r="A266" s="94"/>
      <c r="B266" s="265" t="s">
        <v>1209</v>
      </c>
      <c r="C266" s="266" t="s">
        <v>655</v>
      </c>
      <c r="D266" s="265" t="s">
        <v>40</v>
      </c>
      <c r="E266" s="265" t="s">
        <v>656</v>
      </c>
      <c r="F266" s="267" t="s">
        <v>43</v>
      </c>
      <c r="G266" s="279">
        <v>25</v>
      </c>
      <c r="H266" s="268">
        <v>17.420000000000002</v>
      </c>
      <c r="I266" s="268">
        <f>7.26*1.2488</f>
        <v>9.0662879999999983</v>
      </c>
      <c r="J266" s="268">
        <f>10.16*1.2488</f>
        <v>12.687807999999999</v>
      </c>
      <c r="K266" s="268">
        <f t="shared" si="67"/>
        <v>21.754095999999997</v>
      </c>
      <c r="L266" s="268">
        <f t="shared" si="68"/>
        <v>226.65719999999996</v>
      </c>
      <c r="M266" s="268">
        <f t="shared" si="69"/>
        <v>317.19519999999994</v>
      </c>
      <c r="N266" s="268">
        <v>543.75</v>
      </c>
      <c r="O266" s="269">
        <f t="shared" si="62"/>
        <v>2.3718196760165951E-4</v>
      </c>
      <c r="P266" s="44"/>
      <c r="Q266" s="49"/>
      <c r="R266" s="85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4"/>
      <c r="AI266" s="44"/>
      <c r="AJ266" s="44"/>
    </row>
    <row r="267" spans="1:36" ht="27.6" x14ac:dyDescent="0.25">
      <c r="A267" s="94"/>
      <c r="B267" s="265" t="s">
        <v>1210</v>
      </c>
      <c r="C267" s="266" t="s">
        <v>657</v>
      </c>
      <c r="D267" s="265" t="s">
        <v>40</v>
      </c>
      <c r="E267" s="265" t="s">
        <v>658</v>
      </c>
      <c r="F267" s="267" t="s">
        <v>43</v>
      </c>
      <c r="G267" s="279">
        <v>3</v>
      </c>
      <c r="H267" s="268">
        <v>25.58</v>
      </c>
      <c r="I267" s="268">
        <f>6.68*1.2488</f>
        <v>8.3419839999999983</v>
      </c>
      <c r="J267" s="268">
        <f>16.9*1.2488</f>
        <v>21.104719999999997</v>
      </c>
      <c r="K267" s="268">
        <f t="shared" si="67"/>
        <v>29.446703999999997</v>
      </c>
      <c r="L267" s="268">
        <f t="shared" si="68"/>
        <v>25.025951999999997</v>
      </c>
      <c r="M267" s="268">
        <f t="shared" si="69"/>
        <v>63.314159999999987</v>
      </c>
      <c r="N267" s="268">
        <v>88.35</v>
      </c>
      <c r="O267" s="269">
        <f t="shared" si="62"/>
        <v>3.8537980391000676E-5</v>
      </c>
      <c r="P267" s="44"/>
      <c r="Q267" s="49"/>
      <c r="R267" s="85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4"/>
      <c r="AI267" s="44"/>
      <c r="AJ267" s="44"/>
    </row>
    <row r="268" spans="1:36" ht="27.6" x14ac:dyDescent="0.25">
      <c r="A268" s="94"/>
      <c r="B268" s="265" t="s">
        <v>1211</v>
      </c>
      <c r="C268" s="266" t="s">
        <v>190</v>
      </c>
      <c r="D268" s="265" t="s">
        <v>40</v>
      </c>
      <c r="E268" s="265" t="s">
        <v>191</v>
      </c>
      <c r="F268" s="267" t="s">
        <v>43</v>
      </c>
      <c r="G268" s="279">
        <v>44</v>
      </c>
      <c r="H268" s="268">
        <v>16.66</v>
      </c>
      <c r="I268" s="268">
        <f>7.27*1.2488</f>
        <v>9.0787759999999995</v>
      </c>
      <c r="J268" s="268">
        <f>9.39*1.2488</f>
        <v>11.726232</v>
      </c>
      <c r="K268" s="268">
        <f t="shared" si="67"/>
        <v>20.805008000000001</v>
      </c>
      <c r="L268" s="268">
        <f t="shared" si="68"/>
        <v>399.46614399999999</v>
      </c>
      <c r="M268" s="268">
        <f t="shared" si="69"/>
        <v>515.95420799999999</v>
      </c>
      <c r="N268" s="268">
        <v>915.64</v>
      </c>
      <c r="O268" s="269">
        <f t="shared" si="62"/>
        <v>3.9939916655592372E-4</v>
      </c>
      <c r="P268" s="44"/>
      <c r="Q268" s="49"/>
      <c r="R268" s="124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4"/>
      <c r="AI268" s="44"/>
      <c r="AJ268" s="44"/>
    </row>
    <row r="269" spans="1:36" ht="27.6" x14ac:dyDescent="0.25">
      <c r="A269" s="94"/>
      <c r="B269" s="265" t="s">
        <v>1212</v>
      </c>
      <c r="C269" s="266" t="s">
        <v>184</v>
      </c>
      <c r="D269" s="265" t="s">
        <v>40</v>
      </c>
      <c r="E269" s="265" t="s">
        <v>185</v>
      </c>
      <c r="F269" s="267" t="s">
        <v>43</v>
      </c>
      <c r="G269" s="279">
        <v>29</v>
      </c>
      <c r="H269" s="268">
        <v>12.37</v>
      </c>
      <c r="I269" s="268">
        <f>6.69*1.2488</f>
        <v>8.3544719999999995</v>
      </c>
      <c r="J269" s="268">
        <f>5.68*1.2488</f>
        <v>7.093183999999999</v>
      </c>
      <c r="K269" s="268">
        <f t="shared" si="67"/>
        <v>15.447655999999998</v>
      </c>
      <c r="L269" s="268">
        <f t="shared" si="68"/>
        <v>242.27968799999999</v>
      </c>
      <c r="M269" s="268">
        <f t="shared" si="69"/>
        <v>205.70233599999997</v>
      </c>
      <c r="N269" s="268">
        <v>448.05</v>
      </c>
      <c r="O269" s="269">
        <f t="shared" si="62"/>
        <v>1.9543794130376745E-4</v>
      </c>
      <c r="P269" s="44"/>
      <c r="Q269" s="49"/>
      <c r="R269" s="124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4"/>
      <c r="AI269" s="44"/>
      <c r="AJ269" s="44"/>
    </row>
    <row r="270" spans="1:36" ht="41.4" x14ac:dyDescent="0.25">
      <c r="A270" s="94"/>
      <c r="B270" s="265" t="s">
        <v>1213</v>
      </c>
      <c r="C270" s="266" t="s">
        <v>659</v>
      </c>
      <c r="D270" s="265" t="s">
        <v>40</v>
      </c>
      <c r="E270" s="265" t="s">
        <v>660</v>
      </c>
      <c r="F270" s="267" t="s">
        <v>43</v>
      </c>
      <c r="G270" s="279">
        <v>11</v>
      </c>
      <c r="H270" s="268">
        <v>45.71</v>
      </c>
      <c r="I270" s="268">
        <f>12.21*1.2488</f>
        <v>15.247847999999999</v>
      </c>
      <c r="J270" s="268">
        <f>33.5*1.2488</f>
        <v>41.834799999999994</v>
      </c>
      <c r="K270" s="268">
        <f t="shared" si="67"/>
        <v>57.082647999999992</v>
      </c>
      <c r="L270" s="268">
        <f t="shared" si="68"/>
        <v>167.726328</v>
      </c>
      <c r="M270" s="268">
        <f t="shared" si="69"/>
        <v>460.18279999999993</v>
      </c>
      <c r="N270" s="268">
        <v>627.88</v>
      </c>
      <c r="O270" s="269">
        <f t="shared" si="62"/>
        <v>2.7387919782571028E-4</v>
      </c>
      <c r="P270" s="44"/>
      <c r="Q270" s="49"/>
      <c r="R270" s="124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4"/>
      <c r="AI270" s="44"/>
      <c r="AJ270" s="44"/>
    </row>
    <row r="271" spans="1:36" ht="27.6" x14ac:dyDescent="0.25">
      <c r="A271" s="44"/>
      <c r="B271" s="265" t="s">
        <v>1214</v>
      </c>
      <c r="C271" s="266" t="s">
        <v>663</v>
      </c>
      <c r="D271" s="265" t="s">
        <v>40</v>
      </c>
      <c r="E271" s="265" t="s">
        <v>664</v>
      </c>
      <c r="F271" s="267" t="s">
        <v>43</v>
      </c>
      <c r="G271" s="279">
        <v>6</v>
      </c>
      <c r="H271" s="268">
        <v>17.75</v>
      </c>
      <c r="I271" s="268">
        <f>8.93*1.2488</f>
        <v>11.151783999999999</v>
      </c>
      <c r="J271" s="268">
        <f>8.82*1.2488</f>
        <v>11.014415999999999</v>
      </c>
      <c r="K271" s="268">
        <f t="shared" si="67"/>
        <v>22.166199999999996</v>
      </c>
      <c r="L271" s="268">
        <f t="shared" si="68"/>
        <v>66.910703999999996</v>
      </c>
      <c r="M271" s="268">
        <f t="shared" si="69"/>
        <v>66.086495999999997</v>
      </c>
      <c r="N271" s="268">
        <v>133.02000000000001</v>
      </c>
      <c r="O271" s="269">
        <f t="shared" si="62"/>
        <v>5.8022887963903911E-5</v>
      </c>
      <c r="P271" s="44"/>
      <c r="Q271" s="49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</row>
    <row r="272" spans="1:36" ht="27.6" x14ac:dyDescent="0.25">
      <c r="A272" s="94"/>
      <c r="B272" s="265" t="s">
        <v>1215</v>
      </c>
      <c r="C272" s="266" t="s">
        <v>817</v>
      </c>
      <c r="D272" s="265" t="s">
        <v>40</v>
      </c>
      <c r="E272" s="265" t="s">
        <v>818</v>
      </c>
      <c r="F272" s="267" t="s">
        <v>43</v>
      </c>
      <c r="G272" s="279">
        <v>1</v>
      </c>
      <c r="H272" s="268">
        <v>31</v>
      </c>
      <c r="I272" s="268">
        <f>6.66*1.2488</f>
        <v>8.3170079999999995</v>
      </c>
      <c r="J272" s="268">
        <f>24.34*1.2488</f>
        <v>30.395791999999997</v>
      </c>
      <c r="K272" s="268">
        <f t="shared" si="67"/>
        <v>38.712799999999994</v>
      </c>
      <c r="L272" s="268">
        <f t="shared" si="68"/>
        <v>8.3170079999999995</v>
      </c>
      <c r="M272" s="268">
        <f t="shared" si="69"/>
        <v>30.395791999999997</v>
      </c>
      <c r="N272" s="268">
        <f t="shared" si="70"/>
        <v>38.712799999999994</v>
      </c>
      <c r="O272" s="269">
        <f t="shared" si="62"/>
        <v>1.6886396460449699E-5</v>
      </c>
      <c r="P272" s="44"/>
      <c r="Q272" s="49"/>
      <c r="R272" s="101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4"/>
      <c r="AJ272" s="44"/>
    </row>
    <row r="273" spans="1:36" ht="27.6" x14ac:dyDescent="0.25">
      <c r="A273" s="94"/>
      <c r="B273" s="265" t="s">
        <v>1216</v>
      </c>
      <c r="C273" s="266" t="s">
        <v>665</v>
      </c>
      <c r="D273" s="265" t="s">
        <v>40</v>
      </c>
      <c r="E273" s="265" t="s">
        <v>666</v>
      </c>
      <c r="F273" s="267" t="s">
        <v>43</v>
      </c>
      <c r="G273" s="279">
        <v>1</v>
      </c>
      <c r="H273" s="268">
        <v>43.63</v>
      </c>
      <c r="I273" s="268">
        <f>11.58*1.2488</f>
        <v>14.461103999999999</v>
      </c>
      <c r="J273" s="268">
        <f>32.05*1.2488</f>
        <v>40.024039999999992</v>
      </c>
      <c r="K273" s="268">
        <f t="shared" si="67"/>
        <v>54.485143999999991</v>
      </c>
      <c r="L273" s="268">
        <f t="shared" si="68"/>
        <v>14.461103999999999</v>
      </c>
      <c r="M273" s="268">
        <f t="shared" si="69"/>
        <v>40.024039999999992</v>
      </c>
      <c r="N273" s="268">
        <f t="shared" si="70"/>
        <v>54.485143999999991</v>
      </c>
      <c r="O273" s="269">
        <f t="shared" si="62"/>
        <v>2.3766241211916783E-5</v>
      </c>
      <c r="P273" s="44"/>
      <c r="Q273" s="49"/>
      <c r="R273" s="101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4"/>
      <c r="AJ273" s="44"/>
    </row>
    <row r="274" spans="1:36" ht="27.6" x14ac:dyDescent="0.25">
      <c r="A274" s="137"/>
      <c r="B274" s="265" t="s">
        <v>1567</v>
      </c>
      <c r="C274" s="266" t="s">
        <v>188</v>
      </c>
      <c r="D274" s="265" t="s">
        <v>40</v>
      </c>
      <c r="E274" s="265" t="s">
        <v>189</v>
      </c>
      <c r="F274" s="267" t="s">
        <v>43</v>
      </c>
      <c r="G274" s="279">
        <v>1</v>
      </c>
      <c r="H274" s="268">
        <v>18.97</v>
      </c>
      <c r="I274" s="268">
        <f>2.71*1.2488</f>
        <v>3.3842479999999999</v>
      </c>
      <c r="J274" s="268">
        <f>16.26*1.2488</f>
        <v>20.305488</v>
      </c>
      <c r="K274" s="268">
        <f t="shared" si="67"/>
        <v>23.689736</v>
      </c>
      <c r="L274" s="268">
        <f t="shared" si="68"/>
        <v>3.3842479999999999</v>
      </c>
      <c r="M274" s="268">
        <f t="shared" si="69"/>
        <v>20.305488</v>
      </c>
      <c r="N274" s="268">
        <f t="shared" si="70"/>
        <v>23.689736</v>
      </c>
      <c r="O274" s="269">
        <f t="shared" si="62"/>
        <v>1.0333385188862285E-5</v>
      </c>
      <c r="P274" s="44"/>
      <c r="Q274" s="49"/>
      <c r="R274" s="138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44"/>
      <c r="AJ274" s="44"/>
    </row>
    <row r="275" spans="1:36" ht="27.6" x14ac:dyDescent="0.25">
      <c r="A275" s="94"/>
      <c r="B275" s="265" t="s">
        <v>1568</v>
      </c>
      <c r="C275" s="266" t="s">
        <v>667</v>
      </c>
      <c r="D275" s="265" t="s">
        <v>200</v>
      </c>
      <c r="E275" s="265" t="s">
        <v>784</v>
      </c>
      <c r="F275" s="267" t="s">
        <v>240</v>
      </c>
      <c r="G275" s="279">
        <v>107.9</v>
      </c>
      <c r="H275" s="268">
        <v>108.62</v>
      </c>
      <c r="I275" s="268">
        <f>57.93*1.2488</f>
        <v>72.342984000000001</v>
      </c>
      <c r="J275" s="268">
        <f>50.69*1.2488</f>
        <v>63.301671999999989</v>
      </c>
      <c r="K275" s="268">
        <f t="shared" si="67"/>
        <v>135.644656</v>
      </c>
      <c r="L275" s="268">
        <f t="shared" si="68"/>
        <v>7805.8079736000009</v>
      </c>
      <c r="M275" s="268">
        <f t="shared" si="69"/>
        <v>6830.2504087999996</v>
      </c>
      <c r="N275" s="268">
        <v>14635.56</v>
      </c>
      <c r="O275" s="269">
        <f t="shared" si="62"/>
        <v>6.3839832970154367E-3</v>
      </c>
      <c r="P275" s="44"/>
      <c r="Q275" s="49"/>
      <c r="R275" s="101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4"/>
      <c r="AJ275" s="44"/>
    </row>
    <row r="276" spans="1:36" ht="27.6" x14ac:dyDescent="0.25">
      <c r="A276" s="94"/>
      <c r="B276" s="265" t="s">
        <v>1569</v>
      </c>
      <c r="C276" s="266" t="s">
        <v>668</v>
      </c>
      <c r="D276" s="265" t="s">
        <v>200</v>
      </c>
      <c r="E276" s="265" t="s">
        <v>785</v>
      </c>
      <c r="F276" s="267" t="s">
        <v>240</v>
      </c>
      <c r="G276" s="279">
        <v>40.6</v>
      </c>
      <c r="H276" s="268">
        <v>51.74</v>
      </c>
      <c r="I276" s="268">
        <f>31.6*1.2488</f>
        <v>39.46208</v>
      </c>
      <c r="J276" s="268">
        <f>20.14*1.2488</f>
        <v>25.150831999999998</v>
      </c>
      <c r="K276" s="268">
        <f t="shared" si="67"/>
        <v>64.612911999999994</v>
      </c>
      <c r="L276" s="268">
        <f t="shared" si="68"/>
        <v>1602.1604480000001</v>
      </c>
      <c r="M276" s="268">
        <f t="shared" si="69"/>
        <v>1021.1237791999999</v>
      </c>
      <c r="N276" s="268">
        <v>2623.17</v>
      </c>
      <c r="O276" s="269">
        <f t="shared" si="62"/>
        <v>1.1442181553170487E-3</v>
      </c>
      <c r="P276" s="44"/>
      <c r="Q276" s="49"/>
      <c r="R276" s="101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4"/>
      <c r="AJ276" s="44"/>
    </row>
    <row r="277" spans="1:36" ht="27.6" x14ac:dyDescent="0.25">
      <c r="A277" s="94"/>
      <c r="B277" s="265" t="s">
        <v>1570</v>
      </c>
      <c r="C277" s="266" t="s">
        <v>669</v>
      </c>
      <c r="D277" s="265" t="s">
        <v>200</v>
      </c>
      <c r="E277" s="265" t="s">
        <v>786</v>
      </c>
      <c r="F277" s="267" t="s">
        <v>240</v>
      </c>
      <c r="G277" s="279">
        <v>25.6</v>
      </c>
      <c r="H277" s="268">
        <v>84.27</v>
      </c>
      <c r="I277" s="268">
        <f>47.41*1.2488</f>
        <v>59.205607999999991</v>
      </c>
      <c r="J277" s="268">
        <f>36.86*1.2488</f>
        <v>46.030767999999995</v>
      </c>
      <c r="K277" s="268">
        <f t="shared" si="67"/>
        <v>105.23637599999998</v>
      </c>
      <c r="L277" s="268">
        <f t="shared" si="68"/>
        <v>1515.6635647999999</v>
      </c>
      <c r="M277" s="268">
        <f t="shared" si="69"/>
        <v>1178.3876607999998</v>
      </c>
      <c r="N277" s="268">
        <v>2694.14</v>
      </c>
      <c r="O277" s="269">
        <f t="shared" si="62"/>
        <v>1.1751750366792366E-3</v>
      </c>
      <c r="P277" s="44"/>
      <c r="Q277" s="49"/>
      <c r="R277" s="101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4"/>
      <c r="AJ277" s="44"/>
    </row>
    <row r="278" spans="1:36" x14ac:dyDescent="0.25">
      <c r="A278" s="94"/>
      <c r="B278" s="265" t="s">
        <v>1571</v>
      </c>
      <c r="C278" s="266" t="s">
        <v>670</v>
      </c>
      <c r="D278" s="265" t="s">
        <v>200</v>
      </c>
      <c r="E278" s="265" t="s">
        <v>787</v>
      </c>
      <c r="F278" s="267" t="s">
        <v>240</v>
      </c>
      <c r="G278" s="279">
        <v>60.2</v>
      </c>
      <c r="H278" s="268">
        <v>47.81</v>
      </c>
      <c r="I278" s="268">
        <f>26.34*1.2488</f>
        <v>32.893391999999999</v>
      </c>
      <c r="J278" s="268">
        <f>21.47*1.2488</f>
        <v>26.811735999999996</v>
      </c>
      <c r="K278" s="268">
        <f t="shared" si="67"/>
        <v>59.705127999999995</v>
      </c>
      <c r="L278" s="268">
        <f t="shared" si="68"/>
        <v>1980.1821984000001</v>
      </c>
      <c r="M278" s="268">
        <f t="shared" si="69"/>
        <v>1614.0665071999999</v>
      </c>
      <c r="N278" s="268">
        <v>3594.54</v>
      </c>
      <c r="O278" s="269">
        <f t="shared" si="62"/>
        <v>1.5679265651914835E-3</v>
      </c>
      <c r="P278" s="44"/>
      <c r="Q278" s="49"/>
      <c r="R278" s="101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4"/>
      <c r="AJ278" s="44"/>
    </row>
    <row r="279" spans="1:36" ht="27.6" x14ac:dyDescent="0.25">
      <c r="A279" s="94"/>
      <c r="B279" s="265" t="s">
        <v>1572</v>
      </c>
      <c r="C279" s="266" t="s">
        <v>671</v>
      </c>
      <c r="D279" s="265" t="s">
        <v>200</v>
      </c>
      <c r="E279" s="265" t="s">
        <v>788</v>
      </c>
      <c r="F279" s="267" t="s">
        <v>240</v>
      </c>
      <c r="G279" s="279">
        <v>17.399999999999999</v>
      </c>
      <c r="H279" s="268">
        <v>37.71</v>
      </c>
      <c r="I279" s="268">
        <f>26.34*1.2488</f>
        <v>32.893391999999999</v>
      </c>
      <c r="J279" s="268">
        <f>11.37*1.2488</f>
        <v>14.198855999999997</v>
      </c>
      <c r="K279" s="268">
        <f t="shared" si="67"/>
        <v>47.092247999999998</v>
      </c>
      <c r="L279" s="268">
        <f t="shared" si="68"/>
        <v>572.34502079999993</v>
      </c>
      <c r="M279" s="268">
        <f t="shared" si="69"/>
        <v>247.06009439999994</v>
      </c>
      <c r="N279" s="268">
        <v>819.37</v>
      </c>
      <c r="O279" s="269">
        <f t="shared" si="62"/>
        <v>3.5740650812647682E-4</v>
      </c>
      <c r="P279" s="44"/>
      <c r="Q279" s="49"/>
      <c r="R279" s="101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4"/>
      <c r="AJ279" s="44"/>
    </row>
    <row r="280" spans="1:36" ht="27.6" x14ac:dyDescent="0.25">
      <c r="A280" s="94"/>
      <c r="B280" s="265" t="s">
        <v>1573</v>
      </c>
      <c r="C280" s="266" t="s">
        <v>672</v>
      </c>
      <c r="D280" s="265" t="s">
        <v>200</v>
      </c>
      <c r="E280" s="265" t="s">
        <v>789</v>
      </c>
      <c r="F280" s="267" t="s">
        <v>240</v>
      </c>
      <c r="G280" s="279">
        <v>97.3</v>
      </c>
      <c r="H280" s="268">
        <v>43.64</v>
      </c>
      <c r="I280" s="268">
        <f>26.34*1.2488</f>
        <v>32.893391999999999</v>
      </c>
      <c r="J280" s="268">
        <f>17.3*1.2488</f>
        <v>21.604240000000001</v>
      </c>
      <c r="K280" s="268">
        <f t="shared" si="67"/>
        <v>54.497631999999996</v>
      </c>
      <c r="L280" s="268">
        <f t="shared" si="68"/>
        <v>3200.5270415999998</v>
      </c>
      <c r="M280" s="268">
        <f t="shared" si="69"/>
        <v>2102.0925520000001</v>
      </c>
      <c r="N280" s="268">
        <v>5302.85</v>
      </c>
      <c r="O280" s="269">
        <f t="shared" si="62"/>
        <v>2.3130857873957891E-3</v>
      </c>
      <c r="P280" s="44"/>
      <c r="Q280" s="49"/>
      <c r="R280" s="101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4"/>
      <c r="AJ280" s="44"/>
    </row>
    <row r="281" spans="1:36" ht="27.6" x14ac:dyDescent="0.25">
      <c r="A281" s="94"/>
      <c r="B281" s="265" t="s">
        <v>1574</v>
      </c>
      <c r="C281" s="266" t="s">
        <v>186</v>
      </c>
      <c r="D281" s="265" t="s">
        <v>40</v>
      </c>
      <c r="E281" s="265" t="s">
        <v>187</v>
      </c>
      <c r="F281" s="267" t="s">
        <v>43</v>
      </c>
      <c r="G281" s="279">
        <v>1</v>
      </c>
      <c r="H281" s="268">
        <v>17.64</v>
      </c>
      <c r="I281" s="268">
        <f>8.93*1.2488</f>
        <v>11.151783999999999</v>
      </c>
      <c r="J281" s="268">
        <f>8.71*1.2488</f>
        <v>10.877048</v>
      </c>
      <c r="K281" s="268">
        <f t="shared" si="67"/>
        <v>22.028832000000001</v>
      </c>
      <c r="L281" s="268">
        <f t="shared" si="68"/>
        <v>11.151783999999999</v>
      </c>
      <c r="M281" s="268">
        <f t="shared" si="69"/>
        <v>10.877048</v>
      </c>
      <c r="N281" s="268">
        <f t="shared" si="70"/>
        <v>22.028832000000001</v>
      </c>
      <c r="O281" s="269">
        <f t="shared" si="62"/>
        <v>9.6089043084623466E-6</v>
      </c>
      <c r="P281" s="44"/>
      <c r="Q281" s="49"/>
      <c r="R281" s="101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4"/>
      <c r="AJ281" s="44"/>
    </row>
    <row r="282" spans="1:36" ht="27.6" x14ac:dyDescent="0.25">
      <c r="A282" s="94"/>
      <c r="B282" s="265" t="s">
        <v>1575</v>
      </c>
      <c r="C282" s="266" t="s">
        <v>615</v>
      </c>
      <c r="D282" s="265" t="s">
        <v>40</v>
      </c>
      <c r="E282" s="265" t="s">
        <v>616</v>
      </c>
      <c r="F282" s="267" t="s">
        <v>43</v>
      </c>
      <c r="G282" s="279">
        <v>17</v>
      </c>
      <c r="H282" s="268">
        <v>8.68</v>
      </c>
      <c r="I282" s="268">
        <f>5*1.2488</f>
        <v>6.2439999999999998</v>
      </c>
      <c r="J282" s="268">
        <f>3.68*1.2488</f>
        <v>4.5955839999999997</v>
      </c>
      <c r="K282" s="268">
        <f t="shared" ref="K282" si="71">I282+J282</f>
        <v>10.839583999999999</v>
      </c>
      <c r="L282" s="268">
        <f t="shared" ref="L282" si="72">G282*I282</f>
        <v>106.148</v>
      </c>
      <c r="M282" s="268">
        <f t="shared" ref="M282" si="73">G282*J282</f>
        <v>78.124927999999997</v>
      </c>
      <c r="N282" s="268">
        <v>184.28</v>
      </c>
      <c r="O282" s="269">
        <f t="shared" si="62"/>
        <v>8.0382331934958744E-5</v>
      </c>
      <c r="P282" s="44"/>
      <c r="Q282" s="49"/>
      <c r="R282" s="101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4"/>
      <c r="AJ282" s="44"/>
    </row>
    <row r="283" spans="1:36" ht="27.6" x14ac:dyDescent="0.25">
      <c r="A283" s="94"/>
      <c r="B283" s="265" t="s">
        <v>1576</v>
      </c>
      <c r="C283" s="266" t="s">
        <v>174</v>
      </c>
      <c r="D283" s="265" t="s">
        <v>40</v>
      </c>
      <c r="E283" s="265" t="s">
        <v>175</v>
      </c>
      <c r="F283" s="267" t="s">
        <v>43</v>
      </c>
      <c r="G283" s="279">
        <v>17</v>
      </c>
      <c r="H283" s="268">
        <v>12.4</v>
      </c>
      <c r="I283" s="268">
        <f>5.76*1.2488</f>
        <v>7.1930879999999995</v>
      </c>
      <c r="J283" s="268">
        <f>6.64*1.2488</f>
        <v>8.292031999999999</v>
      </c>
      <c r="K283" s="268">
        <f t="shared" ref="K283" si="74">I283+J283</f>
        <v>15.485119999999998</v>
      </c>
      <c r="L283" s="268">
        <f t="shared" ref="L283" si="75">G283*I283</f>
        <v>122.28249599999999</v>
      </c>
      <c r="M283" s="268">
        <f t="shared" ref="M283" si="76">G283*J283</f>
        <v>140.96454399999999</v>
      </c>
      <c r="N283" s="268">
        <v>263.33</v>
      </c>
      <c r="O283" s="269">
        <f t="shared" si="62"/>
        <v>1.1486368281111723E-4</v>
      </c>
      <c r="P283" s="44"/>
      <c r="Q283" s="49"/>
      <c r="R283" s="101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4"/>
      <c r="AJ283" s="44"/>
    </row>
    <row r="284" spans="1:36" ht="27.6" x14ac:dyDescent="0.25">
      <c r="A284" s="94"/>
      <c r="B284" s="265" t="s">
        <v>1577</v>
      </c>
      <c r="C284" s="266" t="s">
        <v>628</v>
      </c>
      <c r="D284" s="265" t="s">
        <v>40</v>
      </c>
      <c r="E284" s="265" t="s">
        <v>629</v>
      </c>
      <c r="F284" s="267" t="s">
        <v>43</v>
      </c>
      <c r="G284" s="279">
        <v>17</v>
      </c>
      <c r="H284" s="268">
        <v>14.57</v>
      </c>
      <c r="I284" s="268">
        <f>5.33*1.2488</f>
        <v>6.656104</v>
      </c>
      <c r="J284" s="268">
        <f>9.24*1.2488</f>
        <v>11.538912</v>
      </c>
      <c r="K284" s="268">
        <f t="shared" ref="K284" si="77">I284+J284</f>
        <v>18.195015999999999</v>
      </c>
      <c r="L284" s="268">
        <f t="shared" ref="L284" si="78">G284*I284</f>
        <v>113.153768</v>
      </c>
      <c r="M284" s="268">
        <f t="shared" ref="M284" si="79">G284*J284</f>
        <v>196.16150400000001</v>
      </c>
      <c r="N284" s="268">
        <v>309.39999999999998</v>
      </c>
      <c r="O284" s="269">
        <f t="shared" si="62"/>
        <v>1.3495926579485692E-4</v>
      </c>
      <c r="P284" s="44"/>
      <c r="Q284" s="49"/>
      <c r="R284" s="101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4"/>
      <c r="AJ284" s="44"/>
    </row>
    <row r="285" spans="1:36" ht="27.6" x14ac:dyDescent="0.25">
      <c r="A285" s="94"/>
      <c r="B285" s="265" t="s">
        <v>1578</v>
      </c>
      <c r="C285" s="266" t="s">
        <v>172</v>
      </c>
      <c r="D285" s="265" t="s">
        <v>40</v>
      </c>
      <c r="E285" s="265" t="s">
        <v>173</v>
      </c>
      <c r="F285" s="267" t="s">
        <v>43</v>
      </c>
      <c r="G285" s="279">
        <v>34</v>
      </c>
      <c r="H285" s="268">
        <v>10.93</v>
      </c>
      <c r="I285" s="268">
        <f>7.17*1.2488</f>
        <v>8.9538959999999985</v>
      </c>
      <c r="J285" s="268">
        <f>3.76*1.2488</f>
        <v>4.6954879999999992</v>
      </c>
      <c r="K285" s="268">
        <f t="shared" ref="K285" si="80">I285+J285</f>
        <v>13.649383999999998</v>
      </c>
      <c r="L285" s="268">
        <f t="shared" ref="L285" si="81">G285*I285</f>
        <v>304.43246399999992</v>
      </c>
      <c r="M285" s="268">
        <f t="shared" ref="M285" si="82">G285*J285</f>
        <v>159.64659199999997</v>
      </c>
      <c r="N285" s="268">
        <v>464.1</v>
      </c>
      <c r="O285" s="269">
        <f t="shared" si="62"/>
        <v>2.024388986922854E-4</v>
      </c>
      <c r="P285" s="44"/>
      <c r="Q285" s="49"/>
      <c r="R285" s="101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4"/>
      <c r="AJ285" s="44"/>
    </row>
    <row r="286" spans="1:36" ht="27.6" x14ac:dyDescent="0.25">
      <c r="A286" s="94"/>
      <c r="B286" s="265" t="s">
        <v>1579</v>
      </c>
      <c r="C286" s="266" t="s">
        <v>398</v>
      </c>
      <c r="D286" s="265" t="s">
        <v>40</v>
      </c>
      <c r="E286" s="265" t="s">
        <v>399</v>
      </c>
      <c r="F286" s="267" t="s">
        <v>54</v>
      </c>
      <c r="G286" s="279">
        <v>102</v>
      </c>
      <c r="H286" s="268">
        <v>38.26</v>
      </c>
      <c r="I286" s="268">
        <f>25.21*1.2488</f>
        <v>31.482247999999998</v>
      </c>
      <c r="J286" s="268">
        <f>13.05*1.2488</f>
        <v>16.29684</v>
      </c>
      <c r="K286" s="268">
        <f t="shared" ref="K286" si="83">I286+J286</f>
        <v>47.779088000000002</v>
      </c>
      <c r="L286" s="268">
        <f t="shared" ref="L286" si="84">G286*I286</f>
        <v>3211.189296</v>
      </c>
      <c r="M286" s="268">
        <f t="shared" ref="M286" si="85">G286*J286</f>
        <v>1662.2776799999999</v>
      </c>
      <c r="N286" s="268">
        <v>4873.5600000000004</v>
      </c>
      <c r="O286" s="269">
        <f t="shared" si="62"/>
        <v>2.12583089659723E-3</v>
      </c>
      <c r="P286" s="44"/>
      <c r="Q286" s="49"/>
      <c r="R286" s="140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4"/>
      <c r="AJ286" s="44"/>
    </row>
    <row r="287" spans="1:36" x14ac:dyDescent="0.25">
      <c r="A287" s="94"/>
      <c r="B287" s="265" t="s">
        <v>1580</v>
      </c>
      <c r="C287" s="266" t="s">
        <v>652</v>
      </c>
      <c r="D287" s="265" t="s">
        <v>40</v>
      </c>
      <c r="E287" s="265" t="s">
        <v>1057</v>
      </c>
      <c r="F287" s="267" t="s">
        <v>43</v>
      </c>
      <c r="G287" s="279">
        <v>1</v>
      </c>
      <c r="H287" s="268">
        <v>27.69</v>
      </c>
      <c r="I287" s="268">
        <f>4.86*1.2488</f>
        <v>6.0691680000000003</v>
      </c>
      <c r="J287" s="268">
        <f>22.83*1.2488</f>
        <v>28.510103999999995</v>
      </c>
      <c r="K287" s="268">
        <f t="shared" ref="K287" si="86">I287+J287</f>
        <v>34.579271999999996</v>
      </c>
      <c r="L287" s="268">
        <f t="shared" ref="L287" si="87">G287*I287</f>
        <v>6.0691680000000003</v>
      </c>
      <c r="M287" s="268">
        <f t="shared" ref="M287" si="88">G287*J287</f>
        <v>28.510103999999995</v>
      </c>
      <c r="N287" s="268">
        <f t="shared" ref="N287" si="89">L287+M287</f>
        <v>34.579271999999996</v>
      </c>
      <c r="O287" s="269">
        <f t="shared" si="62"/>
        <v>1.5083365096446844E-5</v>
      </c>
      <c r="P287" s="44"/>
      <c r="Q287" s="49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4"/>
      <c r="AJ287" s="44"/>
    </row>
    <row r="288" spans="1:36" x14ac:dyDescent="0.25">
      <c r="A288" s="141"/>
      <c r="B288" s="265" t="s">
        <v>1581</v>
      </c>
      <c r="C288" s="266" t="s">
        <v>606</v>
      </c>
      <c r="D288" s="265" t="s">
        <v>144</v>
      </c>
      <c r="E288" s="265" t="s">
        <v>607</v>
      </c>
      <c r="F288" s="267" t="s">
        <v>165</v>
      </c>
      <c r="G288" s="279">
        <v>1</v>
      </c>
      <c r="H288" s="268">
        <v>4546.41</v>
      </c>
      <c r="I288" s="268">
        <f>2100.26*1.2488</f>
        <v>2622.8046880000002</v>
      </c>
      <c r="J288" s="268">
        <f>2446.15*1.2488</f>
        <v>3054.7521200000001</v>
      </c>
      <c r="K288" s="268">
        <f t="shared" ref="K288" si="90">I288+J288</f>
        <v>5677.5568080000003</v>
      </c>
      <c r="L288" s="268">
        <f t="shared" ref="L288" si="91">G288*I288</f>
        <v>2622.8046880000002</v>
      </c>
      <c r="M288" s="268">
        <f t="shared" ref="M288" si="92">G288*J288</f>
        <v>3054.7521200000001</v>
      </c>
      <c r="N288" s="268">
        <f t="shared" ref="N288" si="93">L288+M288</f>
        <v>5677.5568080000003</v>
      </c>
      <c r="O288" s="269">
        <f t="shared" si="62"/>
        <v>2.47653166876623E-3</v>
      </c>
      <c r="P288" s="44"/>
      <c r="Q288" s="49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44"/>
      <c r="AJ288" s="44"/>
    </row>
    <row r="289" spans="1:36" ht="27.6" x14ac:dyDescent="0.25">
      <c r="A289" s="141"/>
      <c r="B289" s="265" t="s">
        <v>1582</v>
      </c>
      <c r="C289" s="266" t="s">
        <v>674</v>
      </c>
      <c r="D289" s="265" t="s">
        <v>40</v>
      </c>
      <c r="E289" s="265" t="s">
        <v>675</v>
      </c>
      <c r="F289" s="267" t="s">
        <v>58</v>
      </c>
      <c r="G289" s="279">
        <v>0.2</v>
      </c>
      <c r="H289" s="268">
        <v>67.599999999999994</v>
      </c>
      <c r="I289" s="268">
        <f>25.14*1.2488</f>
        <v>31.394831999999997</v>
      </c>
      <c r="J289" s="268">
        <f>42.46*1.2488</f>
        <v>53.024048000000001</v>
      </c>
      <c r="K289" s="268">
        <f t="shared" ref="K289" si="94">I289+J289</f>
        <v>84.418880000000001</v>
      </c>
      <c r="L289" s="268">
        <f t="shared" ref="L289" si="95">G289*I289</f>
        <v>6.2789663999999998</v>
      </c>
      <c r="M289" s="268">
        <f t="shared" ref="M289" si="96">G289*J289</f>
        <v>10.604809600000001</v>
      </c>
      <c r="N289" s="268">
        <f t="shared" ref="N289" si="97">L289+M289</f>
        <v>16.883776000000001</v>
      </c>
      <c r="O289" s="269">
        <f t="shared" si="62"/>
        <v>7.3646477466219339E-6</v>
      </c>
      <c r="P289" s="44"/>
      <c r="Q289" s="49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44"/>
      <c r="AJ289" s="44"/>
    </row>
    <row r="290" spans="1:36" ht="27.6" x14ac:dyDescent="0.25">
      <c r="A290" s="141"/>
      <c r="B290" s="265" t="s">
        <v>1583</v>
      </c>
      <c r="C290" s="266" t="s">
        <v>192</v>
      </c>
      <c r="D290" s="265" t="s">
        <v>40</v>
      </c>
      <c r="E290" s="265" t="s">
        <v>193</v>
      </c>
      <c r="F290" s="267" t="s">
        <v>43</v>
      </c>
      <c r="G290" s="279">
        <v>19</v>
      </c>
      <c r="H290" s="268">
        <v>11.47</v>
      </c>
      <c r="I290" s="268">
        <f>0.58*1.2488</f>
        <v>0.72430399999999995</v>
      </c>
      <c r="J290" s="268">
        <f>10.89*1.2488</f>
        <v>13.599432</v>
      </c>
      <c r="K290" s="268">
        <f t="shared" ref="K290" si="98">I290+J290</f>
        <v>14.323736</v>
      </c>
      <c r="L290" s="268">
        <f t="shared" ref="L290" si="99">G290*I290</f>
        <v>13.761775999999999</v>
      </c>
      <c r="M290" s="268">
        <f t="shared" ref="M290" si="100">G290*J290</f>
        <v>258.389208</v>
      </c>
      <c r="N290" s="268">
        <v>272.08</v>
      </c>
      <c r="O290" s="269">
        <f t="shared" si="62"/>
        <v>1.1868040412884509E-4</v>
      </c>
      <c r="P290" s="44"/>
      <c r="Q290" s="49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44"/>
      <c r="AJ290" s="44"/>
    </row>
    <row r="291" spans="1:36" ht="27.6" x14ac:dyDescent="0.25">
      <c r="A291" s="22"/>
      <c r="B291" s="265" t="s">
        <v>1584</v>
      </c>
      <c r="C291" s="266" t="s">
        <v>194</v>
      </c>
      <c r="D291" s="265" t="s">
        <v>40</v>
      </c>
      <c r="E291" s="265" t="s">
        <v>195</v>
      </c>
      <c r="F291" s="267" t="s">
        <v>43</v>
      </c>
      <c r="G291" s="279">
        <v>17</v>
      </c>
      <c r="H291" s="268">
        <v>17.07</v>
      </c>
      <c r="I291" s="268">
        <f>2.39*1.2488</f>
        <v>2.984632</v>
      </c>
      <c r="J291" s="268">
        <f>14.68*1.2488</f>
        <v>18.332383999999998</v>
      </c>
      <c r="K291" s="268">
        <f t="shared" ref="K291" si="101">I291+J291</f>
        <v>21.317015999999999</v>
      </c>
      <c r="L291" s="268">
        <f t="shared" ref="L291" si="102">G291*I291</f>
        <v>50.738743999999997</v>
      </c>
      <c r="M291" s="268">
        <f t="shared" ref="M291" si="103">G291*J291</f>
        <v>311.65052799999995</v>
      </c>
      <c r="N291" s="268">
        <v>362.44</v>
      </c>
      <c r="O291" s="269">
        <f t="shared" si="62"/>
        <v>1.5809513993111812E-4</v>
      </c>
      <c r="P291" s="44"/>
      <c r="Q291" s="49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44"/>
      <c r="AJ291" s="44"/>
    </row>
    <row r="292" spans="1:36" ht="27.6" x14ac:dyDescent="0.25">
      <c r="A292" s="22"/>
      <c r="B292" s="265" t="s">
        <v>1585</v>
      </c>
      <c r="C292" s="266" t="s">
        <v>677</v>
      </c>
      <c r="D292" s="265" t="s">
        <v>40</v>
      </c>
      <c r="E292" s="265" t="s">
        <v>678</v>
      </c>
      <c r="F292" s="267" t="s">
        <v>43</v>
      </c>
      <c r="G292" s="279">
        <v>1</v>
      </c>
      <c r="H292" s="268">
        <v>37.67</v>
      </c>
      <c r="I292" s="268">
        <f>8.8*1.2488</f>
        <v>10.98944</v>
      </c>
      <c r="J292" s="268">
        <f>29.07*1.2488</f>
        <v>36.302616</v>
      </c>
      <c r="K292" s="268">
        <f t="shared" ref="K292" si="104">I292+J292</f>
        <v>47.292056000000002</v>
      </c>
      <c r="L292" s="268">
        <f t="shared" ref="L292" si="105">G292*I292</f>
        <v>10.98944</v>
      </c>
      <c r="M292" s="268">
        <f t="shared" ref="M292" si="106">G292*J292</f>
        <v>36.302616</v>
      </c>
      <c r="N292" s="268">
        <f t="shared" ref="N292" si="107">L292+M292</f>
        <v>47.292056000000002</v>
      </c>
      <c r="O292" s="269">
        <f t="shared" si="62"/>
        <v>2.0628639805071942E-5</v>
      </c>
      <c r="P292" s="44"/>
      <c r="Q292" s="49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44"/>
      <c r="AJ292" s="44"/>
    </row>
    <row r="293" spans="1:36" x14ac:dyDescent="0.25">
      <c r="A293" s="22"/>
      <c r="B293" s="261" t="s">
        <v>1217</v>
      </c>
      <c r="C293" s="261"/>
      <c r="D293" s="261"/>
      <c r="E293" s="261" t="s">
        <v>679</v>
      </c>
      <c r="F293" s="261"/>
      <c r="G293" s="278"/>
      <c r="H293" s="262"/>
      <c r="I293" s="261"/>
      <c r="J293" s="261"/>
      <c r="K293" s="261"/>
      <c r="L293" s="261"/>
      <c r="M293" s="261"/>
      <c r="N293" s="263">
        <f>SUM(N294:N309)</f>
        <v>22099.751695999999</v>
      </c>
      <c r="O293" s="264">
        <f>N293/$N$472</f>
        <v>9.6398392473846291E-3</v>
      </c>
      <c r="P293" s="44"/>
      <c r="Q293" s="49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44"/>
      <c r="AJ293" s="44"/>
    </row>
    <row r="294" spans="1:36" ht="27.6" x14ac:dyDescent="0.25">
      <c r="A294" s="22"/>
      <c r="B294" s="265" t="s">
        <v>1218</v>
      </c>
      <c r="C294" s="266" t="s">
        <v>883</v>
      </c>
      <c r="D294" s="265" t="s">
        <v>144</v>
      </c>
      <c r="E294" s="265" t="s">
        <v>1059</v>
      </c>
      <c r="F294" s="267" t="s">
        <v>165</v>
      </c>
      <c r="G294" s="279">
        <v>4</v>
      </c>
      <c r="H294" s="268">
        <v>541.66</v>
      </c>
      <c r="I294" s="268">
        <f>385.5*1.2488</f>
        <v>481.41239999999999</v>
      </c>
      <c r="J294" s="268">
        <f>156.16*1.2488</f>
        <v>195.01260799999997</v>
      </c>
      <c r="K294" s="268">
        <f t="shared" ref="K294:K296" si="108">I294+J294</f>
        <v>676.42500799999993</v>
      </c>
      <c r="L294" s="268">
        <f t="shared" ref="L294:L296" si="109">G294*I294</f>
        <v>1925.6496</v>
      </c>
      <c r="M294" s="268">
        <f t="shared" ref="M294:M296" si="110">G294*J294</f>
        <v>780.05043199999989</v>
      </c>
      <c r="N294" s="268">
        <v>2705.72</v>
      </c>
      <c r="O294" s="269">
        <f t="shared" si="62"/>
        <v>1.1802261947202982E-3</v>
      </c>
      <c r="Q294" s="49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44"/>
      <c r="AJ294" s="44"/>
    </row>
    <row r="295" spans="1:36" x14ac:dyDescent="0.25">
      <c r="A295" s="22"/>
      <c r="B295" s="265" t="s">
        <v>1219</v>
      </c>
      <c r="C295" s="266" t="s">
        <v>1061</v>
      </c>
      <c r="D295" s="265" t="s">
        <v>144</v>
      </c>
      <c r="E295" s="265" t="s">
        <v>1062</v>
      </c>
      <c r="F295" s="267" t="s">
        <v>165</v>
      </c>
      <c r="G295" s="279">
        <v>2</v>
      </c>
      <c r="H295" s="268">
        <v>454.9</v>
      </c>
      <c r="I295" s="268">
        <f>220.25*1.2488</f>
        <v>275.04820000000001</v>
      </c>
      <c r="J295" s="268">
        <f>234.65*1.2488</f>
        <v>293.03091999999998</v>
      </c>
      <c r="K295" s="268">
        <f t="shared" si="108"/>
        <v>568.07911999999999</v>
      </c>
      <c r="L295" s="268">
        <f t="shared" si="109"/>
        <v>550.09640000000002</v>
      </c>
      <c r="M295" s="268">
        <f t="shared" si="110"/>
        <v>586.06183999999996</v>
      </c>
      <c r="N295" s="268">
        <f t="shared" ref="N295:N296" si="111">L295+M295</f>
        <v>1136.15824</v>
      </c>
      <c r="O295" s="269">
        <f t="shared" si="62"/>
        <v>4.9558849999087535E-4</v>
      </c>
      <c r="P295" s="44"/>
      <c r="Q295" s="49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44"/>
      <c r="AJ295" s="44"/>
    </row>
    <row r="296" spans="1:36" x14ac:dyDescent="0.25">
      <c r="A296" s="22"/>
      <c r="B296" s="265" t="s">
        <v>1220</v>
      </c>
      <c r="C296" s="266">
        <v>4283</v>
      </c>
      <c r="D296" s="265" t="s">
        <v>144</v>
      </c>
      <c r="E296" s="265" t="s">
        <v>1566</v>
      </c>
      <c r="F296" s="267" t="s">
        <v>43</v>
      </c>
      <c r="G296" s="279">
        <v>2</v>
      </c>
      <c r="H296" s="268">
        <v>44.33</v>
      </c>
      <c r="I296" s="268">
        <f>17.07*1.2488</f>
        <v>21.317015999999999</v>
      </c>
      <c r="J296" s="268">
        <f>27.26*1.2488</f>
        <v>34.042287999999999</v>
      </c>
      <c r="K296" s="268">
        <f t="shared" si="108"/>
        <v>55.359303999999995</v>
      </c>
      <c r="L296" s="268">
        <f t="shared" si="109"/>
        <v>42.634031999999998</v>
      </c>
      <c r="M296" s="268">
        <f t="shared" si="110"/>
        <v>68.084575999999998</v>
      </c>
      <c r="N296" s="268">
        <f t="shared" si="111"/>
        <v>110.71860799999999</v>
      </c>
      <c r="O296" s="269">
        <f t="shared" si="62"/>
        <v>4.8295093876886141E-5</v>
      </c>
      <c r="P296" s="44"/>
      <c r="Q296" s="49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44"/>
      <c r="AJ296" s="44"/>
    </row>
    <row r="297" spans="1:36" ht="27.6" x14ac:dyDescent="0.25">
      <c r="A297" s="22"/>
      <c r="B297" s="265" t="s">
        <v>1221</v>
      </c>
      <c r="C297" s="266" t="s">
        <v>653</v>
      </c>
      <c r="D297" s="265" t="s">
        <v>40</v>
      </c>
      <c r="E297" s="265" t="s">
        <v>654</v>
      </c>
      <c r="F297" s="267" t="s">
        <v>43</v>
      </c>
      <c r="G297" s="279">
        <v>3</v>
      </c>
      <c r="H297" s="268">
        <v>71.11</v>
      </c>
      <c r="I297" s="268">
        <f>6.57*1.2488</f>
        <v>8.2046159999999997</v>
      </c>
      <c r="J297" s="268">
        <f>64.54*1.2488</f>
        <v>80.597552000000007</v>
      </c>
      <c r="K297" s="268">
        <f t="shared" ref="K297" si="112">I297+J297</f>
        <v>88.802168000000009</v>
      </c>
      <c r="L297" s="268">
        <f t="shared" ref="L297" si="113">G297*I297</f>
        <v>24.613847999999997</v>
      </c>
      <c r="M297" s="268">
        <f t="shared" ref="M297" si="114">G297*J297</f>
        <v>241.79265600000002</v>
      </c>
      <c r="N297" s="268">
        <v>266.39999999999998</v>
      </c>
      <c r="O297" s="269">
        <f t="shared" si="62"/>
        <v>1.1620280674773717E-4</v>
      </c>
      <c r="P297" s="44"/>
      <c r="Q297" s="49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44"/>
      <c r="AJ297" s="44"/>
    </row>
    <row r="298" spans="1:36" ht="27.6" x14ac:dyDescent="0.25">
      <c r="A298" s="22"/>
      <c r="B298" s="265" t="s">
        <v>1586</v>
      </c>
      <c r="C298" s="266" t="s">
        <v>608</v>
      </c>
      <c r="D298" s="265" t="s">
        <v>40</v>
      </c>
      <c r="E298" s="265" t="s">
        <v>609</v>
      </c>
      <c r="F298" s="267" t="s">
        <v>43</v>
      </c>
      <c r="G298" s="279">
        <v>15</v>
      </c>
      <c r="H298" s="268">
        <v>47.1</v>
      </c>
      <c r="I298" s="268">
        <f>11.42*1.2488</f>
        <v>14.261296</v>
      </c>
      <c r="J298" s="268">
        <f>35.68*1.2488</f>
        <v>44.557183999999999</v>
      </c>
      <c r="K298" s="268">
        <f t="shared" ref="K298" si="115">I298+J298</f>
        <v>58.818480000000001</v>
      </c>
      <c r="L298" s="268">
        <f t="shared" ref="L298" si="116">G298*I298</f>
        <v>213.91944000000001</v>
      </c>
      <c r="M298" s="268">
        <f t="shared" ref="M298" si="117">G298*J298</f>
        <v>668.35775999999998</v>
      </c>
      <c r="N298" s="268">
        <v>882.3</v>
      </c>
      <c r="O298" s="269">
        <f t="shared" si="62"/>
        <v>3.8485636784357552E-4</v>
      </c>
      <c r="P298" s="44"/>
      <c r="Q298" s="49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44"/>
      <c r="AJ298" s="44"/>
    </row>
    <row r="299" spans="1:36" ht="27.6" x14ac:dyDescent="0.25">
      <c r="A299" s="22"/>
      <c r="B299" s="265" t="s">
        <v>1587</v>
      </c>
      <c r="C299" s="266" t="s">
        <v>877</v>
      </c>
      <c r="D299" s="265" t="s">
        <v>40</v>
      </c>
      <c r="E299" s="265" t="s">
        <v>878</v>
      </c>
      <c r="F299" s="267" t="s">
        <v>43</v>
      </c>
      <c r="G299" s="279">
        <v>1</v>
      </c>
      <c r="H299" s="268">
        <v>42.46</v>
      </c>
      <c r="I299" s="268">
        <f>8.67*1.2488</f>
        <v>10.827095999999999</v>
      </c>
      <c r="J299" s="268">
        <f>33.79*1.2488</f>
        <v>42.196951999999996</v>
      </c>
      <c r="K299" s="268">
        <f t="shared" ref="K299" si="118">I299+J299</f>
        <v>53.024047999999993</v>
      </c>
      <c r="L299" s="268">
        <f t="shared" ref="L299" si="119">G299*I299</f>
        <v>10.827095999999999</v>
      </c>
      <c r="M299" s="268">
        <f t="shared" ref="M299" si="120">G299*J299</f>
        <v>42.196951999999996</v>
      </c>
      <c r="N299" s="268">
        <f t="shared" ref="N299" si="121">L299+M299</f>
        <v>53.024047999999993</v>
      </c>
      <c r="O299" s="269">
        <f t="shared" si="62"/>
        <v>2.3128915926151424E-5</v>
      </c>
      <c r="P299" s="44"/>
      <c r="Q299" s="49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44"/>
      <c r="AJ299" s="44"/>
    </row>
    <row r="300" spans="1:36" ht="27.6" x14ac:dyDescent="0.25">
      <c r="A300" s="55"/>
      <c r="B300" s="265" t="s">
        <v>1588</v>
      </c>
      <c r="C300" s="266" t="s">
        <v>661</v>
      </c>
      <c r="D300" s="265" t="s">
        <v>40</v>
      </c>
      <c r="E300" s="265" t="s">
        <v>662</v>
      </c>
      <c r="F300" s="267" t="s">
        <v>43</v>
      </c>
      <c r="G300" s="279">
        <v>1</v>
      </c>
      <c r="H300" s="268">
        <v>54.45</v>
      </c>
      <c r="I300" s="268">
        <f>13.51*1.2488</f>
        <v>16.871288</v>
      </c>
      <c r="J300" s="268">
        <f>40.94*1.2488</f>
        <v>51.125871999999994</v>
      </c>
      <c r="K300" s="268">
        <f t="shared" ref="K300" si="122">I300+J300</f>
        <v>67.997159999999994</v>
      </c>
      <c r="L300" s="268">
        <f t="shared" ref="L300" si="123">G300*I300</f>
        <v>16.871288</v>
      </c>
      <c r="M300" s="268">
        <f t="shared" ref="M300" si="124">G300*J300</f>
        <v>51.125871999999994</v>
      </c>
      <c r="N300" s="268">
        <f t="shared" ref="N300" si="125">L300+M300</f>
        <v>67.997159999999994</v>
      </c>
      <c r="O300" s="269">
        <f t="shared" si="62"/>
        <v>2.9660138299080196E-5</v>
      </c>
      <c r="P300" s="44"/>
      <c r="Q300" s="49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</row>
    <row r="301" spans="1:36" ht="27.6" x14ac:dyDescent="0.25">
      <c r="A301" s="55"/>
      <c r="B301" s="265" t="s">
        <v>1589</v>
      </c>
      <c r="C301" s="266" t="s">
        <v>1072</v>
      </c>
      <c r="D301" s="265" t="s">
        <v>40</v>
      </c>
      <c r="E301" s="265" t="s">
        <v>1073</v>
      </c>
      <c r="F301" s="267" t="s">
        <v>43</v>
      </c>
      <c r="G301" s="279">
        <v>1</v>
      </c>
      <c r="H301" s="268">
        <v>26.13</v>
      </c>
      <c r="I301" s="268">
        <f>6.08*1.2488</f>
        <v>7.5927039999999995</v>
      </c>
      <c r="J301" s="268">
        <f>20.05*1.2488</f>
        <v>25.038439999999998</v>
      </c>
      <c r="K301" s="268">
        <f t="shared" ref="K301" si="126">I301+J301</f>
        <v>32.631143999999999</v>
      </c>
      <c r="L301" s="268">
        <f t="shared" ref="L301" si="127">G301*I301</f>
        <v>7.5927039999999995</v>
      </c>
      <c r="M301" s="268">
        <f t="shared" ref="M301" si="128">G301*J301</f>
        <v>25.038439999999998</v>
      </c>
      <c r="N301" s="268">
        <f t="shared" ref="N301" si="129">L301+M301</f>
        <v>32.631143999999999</v>
      </c>
      <c r="O301" s="269">
        <f t="shared" si="62"/>
        <v>1.4233598048759699E-5</v>
      </c>
      <c r="P301" s="44"/>
      <c r="Q301" s="49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</row>
    <row r="302" spans="1:36" ht="27.6" x14ac:dyDescent="0.25">
      <c r="A302" s="55"/>
      <c r="B302" s="265" t="s">
        <v>1590</v>
      </c>
      <c r="C302" s="266" t="s">
        <v>879</v>
      </c>
      <c r="D302" s="265" t="s">
        <v>40</v>
      </c>
      <c r="E302" s="265" t="s">
        <v>880</v>
      </c>
      <c r="F302" s="267" t="s">
        <v>43</v>
      </c>
      <c r="G302" s="279">
        <v>1</v>
      </c>
      <c r="H302" s="268">
        <v>31.94</v>
      </c>
      <c r="I302" s="268">
        <f>3.89*1.2488</f>
        <v>4.8578320000000001</v>
      </c>
      <c r="J302" s="268">
        <f>28.05*1.2488</f>
        <v>35.028839999999995</v>
      </c>
      <c r="K302" s="268">
        <f t="shared" ref="K302" si="130">I302+J302</f>
        <v>39.886671999999997</v>
      </c>
      <c r="L302" s="268">
        <f t="shared" ref="L302" si="131">G302*I302</f>
        <v>4.8578320000000001</v>
      </c>
      <c r="M302" s="268">
        <f t="shared" ref="M302" si="132">G302*J302</f>
        <v>35.028839999999995</v>
      </c>
      <c r="N302" s="268">
        <f t="shared" ref="N302" si="133">L302+M302</f>
        <v>39.886671999999997</v>
      </c>
      <c r="O302" s="269">
        <f t="shared" si="62"/>
        <v>1.7398435578927851E-5</v>
      </c>
      <c r="P302" s="44"/>
      <c r="Q302" s="49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</row>
    <row r="303" spans="1:36" x14ac:dyDescent="0.25">
      <c r="A303" s="55"/>
      <c r="B303" s="265" t="s">
        <v>1591</v>
      </c>
      <c r="C303" s="266" t="s">
        <v>610</v>
      </c>
      <c r="D303" s="265" t="s">
        <v>200</v>
      </c>
      <c r="E303" s="265" t="s">
        <v>782</v>
      </c>
      <c r="F303" s="267" t="s">
        <v>240</v>
      </c>
      <c r="G303" s="279">
        <v>84.2</v>
      </c>
      <c r="H303" s="268">
        <v>47.26</v>
      </c>
      <c r="I303" s="268">
        <f>18.53*1.2488</f>
        <v>23.140263999999998</v>
      </c>
      <c r="J303" s="268">
        <f>28.73*1.2488</f>
        <v>35.878023999999996</v>
      </c>
      <c r="K303" s="268">
        <f t="shared" ref="K303" si="134">I303+J303</f>
        <v>59.018287999999998</v>
      </c>
      <c r="L303" s="268">
        <f t="shared" ref="L303" si="135">G303*I303</f>
        <v>1948.4102287999999</v>
      </c>
      <c r="M303" s="268">
        <f t="shared" ref="M303" si="136">G303*J303</f>
        <v>3020.9296207999996</v>
      </c>
      <c r="N303" s="268">
        <v>4969.4799999999996</v>
      </c>
      <c r="O303" s="269">
        <f t="shared" si="62"/>
        <v>2.1676708861739676E-3</v>
      </c>
      <c r="P303" s="44"/>
      <c r="Q303" s="49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</row>
    <row r="304" spans="1:36" x14ac:dyDescent="0.25">
      <c r="A304" s="55"/>
      <c r="B304" s="265" t="s">
        <v>1592</v>
      </c>
      <c r="C304" s="266" t="s">
        <v>881</v>
      </c>
      <c r="D304" s="265" t="s">
        <v>200</v>
      </c>
      <c r="E304" s="265" t="s">
        <v>882</v>
      </c>
      <c r="F304" s="267" t="s">
        <v>240</v>
      </c>
      <c r="G304" s="279">
        <v>41.7</v>
      </c>
      <c r="H304" s="268">
        <v>65.38</v>
      </c>
      <c r="I304" s="268">
        <f>18.53*1.2488</f>
        <v>23.140263999999998</v>
      </c>
      <c r="J304" s="268">
        <f>46.85*1.2488</f>
        <v>58.506279999999997</v>
      </c>
      <c r="K304" s="268">
        <f t="shared" ref="K304" si="137">I304+J304</f>
        <v>81.646543999999992</v>
      </c>
      <c r="L304" s="268">
        <f t="shared" ref="L304" si="138">G304*I304</f>
        <v>964.9490088</v>
      </c>
      <c r="M304" s="268">
        <f t="shared" ref="M304" si="139">G304*J304</f>
        <v>2439.7118759999998</v>
      </c>
      <c r="N304" s="268">
        <v>3404.81</v>
      </c>
      <c r="O304" s="269">
        <f t="shared" si="62"/>
        <v>1.485166961121483E-3</v>
      </c>
      <c r="P304" s="44"/>
      <c r="Q304" s="49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</row>
    <row r="305" spans="1:36" x14ac:dyDescent="0.25">
      <c r="A305" s="55"/>
      <c r="B305" s="265" t="s">
        <v>1593</v>
      </c>
      <c r="C305" s="266" t="s">
        <v>676</v>
      </c>
      <c r="D305" s="265" t="s">
        <v>200</v>
      </c>
      <c r="E305" s="265" t="s">
        <v>790</v>
      </c>
      <c r="F305" s="267" t="s">
        <v>240</v>
      </c>
      <c r="G305" s="279">
        <v>6</v>
      </c>
      <c r="H305" s="268">
        <v>106.83</v>
      </c>
      <c r="I305" s="268">
        <f>47.41*1.2488</f>
        <v>59.205607999999991</v>
      </c>
      <c r="J305" s="268">
        <f>59.42*1.2488</f>
        <v>74.203695999999994</v>
      </c>
      <c r="K305" s="268">
        <f t="shared" ref="K305" si="140">I305+J305</f>
        <v>133.40930399999999</v>
      </c>
      <c r="L305" s="268">
        <f t="shared" ref="L305" si="141">G305*I305</f>
        <v>355.23364799999996</v>
      </c>
      <c r="M305" s="268">
        <f t="shared" ref="M305" si="142">G305*J305</f>
        <v>445.22217599999999</v>
      </c>
      <c r="N305" s="268">
        <f t="shared" ref="N305" si="143">L305+M305</f>
        <v>800.45582399999989</v>
      </c>
      <c r="O305" s="269">
        <f t="shared" si="62"/>
        <v>3.4915620655545312E-4</v>
      </c>
      <c r="P305" s="44"/>
      <c r="Q305" s="49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</row>
    <row r="306" spans="1:36" ht="27.6" x14ac:dyDescent="0.25">
      <c r="A306" s="55"/>
      <c r="B306" s="265" t="s">
        <v>1594</v>
      </c>
      <c r="C306" s="266" t="s">
        <v>682</v>
      </c>
      <c r="D306" s="265" t="s">
        <v>40</v>
      </c>
      <c r="E306" s="265" t="s">
        <v>683</v>
      </c>
      <c r="F306" s="267" t="s">
        <v>54</v>
      </c>
      <c r="G306" s="279">
        <v>10.3</v>
      </c>
      <c r="H306" s="268">
        <v>153.62</v>
      </c>
      <c r="I306" s="268">
        <f>4.15*1.2488</f>
        <v>5.1825200000000002</v>
      </c>
      <c r="J306" s="268">
        <f>149.47*1.2488</f>
        <v>186.65813599999998</v>
      </c>
      <c r="K306" s="268">
        <f t="shared" ref="K306" si="144">I306+J306</f>
        <v>191.840656</v>
      </c>
      <c r="L306" s="268">
        <f t="shared" ref="L306" si="145">G306*I306</f>
        <v>53.379956000000007</v>
      </c>
      <c r="M306" s="268">
        <f t="shared" ref="M306" si="146">G306*J306</f>
        <v>1922.5788008</v>
      </c>
      <c r="N306" s="268">
        <v>1975.95</v>
      </c>
      <c r="O306" s="269">
        <f t="shared" si="62"/>
        <v>8.6190291288735469E-4</v>
      </c>
      <c r="P306" s="44"/>
      <c r="Q306" s="49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</row>
    <row r="307" spans="1:36" ht="27.6" x14ac:dyDescent="0.25">
      <c r="A307" s="55"/>
      <c r="B307" s="265" t="s">
        <v>1595</v>
      </c>
      <c r="C307" s="266" t="s">
        <v>172</v>
      </c>
      <c r="D307" s="265" t="s">
        <v>40</v>
      </c>
      <c r="E307" s="265" t="s">
        <v>173</v>
      </c>
      <c r="F307" s="267" t="s">
        <v>43</v>
      </c>
      <c r="G307" s="279">
        <v>18</v>
      </c>
      <c r="H307" s="268">
        <v>10.73</v>
      </c>
      <c r="I307" s="268">
        <f>7.17*1.2488</f>
        <v>8.9538959999999985</v>
      </c>
      <c r="J307" s="268">
        <f>3.76*1.2488</f>
        <v>4.6954879999999992</v>
      </c>
      <c r="K307" s="268">
        <f t="shared" ref="K307" si="147">I307+J307</f>
        <v>13.649383999999998</v>
      </c>
      <c r="L307" s="268">
        <f t="shared" ref="L307" si="148">G307*I307</f>
        <v>161.17012799999998</v>
      </c>
      <c r="M307" s="268">
        <f t="shared" ref="M307" si="149">G307*J307</f>
        <v>84.518783999999982</v>
      </c>
      <c r="N307" s="268">
        <v>245.7</v>
      </c>
      <c r="O307" s="269">
        <f t="shared" si="62"/>
        <v>1.0717353460179814E-4</v>
      </c>
      <c r="P307" s="44"/>
      <c r="Q307" s="49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</row>
    <row r="308" spans="1:36" ht="27.6" x14ac:dyDescent="0.25">
      <c r="A308" s="55"/>
      <c r="B308" s="265" t="s">
        <v>1596</v>
      </c>
      <c r="C308" s="266" t="s">
        <v>398</v>
      </c>
      <c r="D308" s="265" t="s">
        <v>40</v>
      </c>
      <c r="E308" s="265" t="s">
        <v>399</v>
      </c>
      <c r="F308" s="267" t="s">
        <v>54</v>
      </c>
      <c r="G308" s="279">
        <v>109.9</v>
      </c>
      <c r="H308" s="268">
        <v>38.26</v>
      </c>
      <c r="I308" s="268">
        <f>25.21*1.2488</f>
        <v>31.482247999999998</v>
      </c>
      <c r="J308" s="268">
        <f>13.05*1.2488</f>
        <v>16.29684</v>
      </c>
      <c r="K308" s="268">
        <f t="shared" ref="K308" si="150">I308+J308</f>
        <v>47.779088000000002</v>
      </c>
      <c r="L308" s="268">
        <f t="shared" ref="L308" si="151">G308*I308</f>
        <v>3459.8990552</v>
      </c>
      <c r="M308" s="268">
        <f t="shared" ref="M308" si="152">G308*J308</f>
        <v>1791.0227159999999</v>
      </c>
      <c r="N308" s="268">
        <v>5251.02</v>
      </c>
      <c r="O308" s="269">
        <f t="shared" si="62"/>
        <v>2.2904777112931793E-3</v>
      </c>
      <c r="P308" s="44"/>
      <c r="Q308" s="49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</row>
    <row r="309" spans="1:36" ht="27.6" x14ac:dyDescent="0.25">
      <c r="A309" s="55"/>
      <c r="B309" s="265" t="s">
        <v>1597</v>
      </c>
      <c r="C309" s="266" t="s">
        <v>197</v>
      </c>
      <c r="D309" s="265" t="s">
        <v>40</v>
      </c>
      <c r="E309" s="265" t="s">
        <v>198</v>
      </c>
      <c r="F309" s="267" t="s">
        <v>43</v>
      </c>
      <c r="G309" s="279">
        <v>10</v>
      </c>
      <c r="H309" s="268">
        <v>12.61</v>
      </c>
      <c r="I309" s="268">
        <f>7.78*1.2488</f>
        <v>9.7156640000000003</v>
      </c>
      <c r="J309" s="268">
        <f>4.83*1.2488</f>
        <v>6.0317039999999995</v>
      </c>
      <c r="K309" s="268">
        <f t="shared" ref="K309" si="153">I309+J309</f>
        <v>15.747368</v>
      </c>
      <c r="L309" s="268">
        <f t="shared" ref="L309" si="154">G309*I309</f>
        <v>97.15664000000001</v>
      </c>
      <c r="M309" s="268">
        <f t="shared" ref="M309" si="155">G309*J309</f>
        <v>60.317039999999992</v>
      </c>
      <c r="N309" s="268">
        <v>157.5</v>
      </c>
      <c r="O309" s="269">
        <f t="shared" si="62"/>
        <v>6.8700983719101379E-5</v>
      </c>
      <c r="P309" s="44"/>
      <c r="Q309" s="49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</row>
    <row r="310" spans="1:36" x14ac:dyDescent="0.25">
      <c r="A310" s="55"/>
      <c r="B310" s="261" t="s">
        <v>1223</v>
      </c>
      <c r="C310" s="261"/>
      <c r="D310" s="261"/>
      <c r="E310" s="261" t="s">
        <v>684</v>
      </c>
      <c r="F310" s="261"/>
      <c r="G310" s="278"/>
      <c r="H310" s="262"/>
      <c r="I310" s="261"/>
      <c r="J310" s="261"/>
      <c r="K310" s="261"/>
      <c r="L310" s="261"/>
      <c r="M310" s="261"/>
      <c r="N310" s="263">
        <f>SUM(N311:N321)</f>
        <v>8043.2283199999993</v>
      </c>
      <c r="O310" s="264">
        <f>N310/$N$472</f>
        <v>3.5084298276910164E-3</v>
      </c>
      <c r="P310" s="44"/>
      <c r="Q310" s="49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</row>
    <row r="311" spans="1:36" x14ac:dyDescent="0.25">
      <c r="A311" s="55"/>
      <c r="B311" s="265" t="s">
        <v>1224</v>
      </c>
      <c r="C311" s="266" t="s">
        <v>1479</v>
      </c>
      <c r="D311" s="265" t="s">
        <v>200</v>
      </c>
      <c r="E311" s="265" t="s">
        <v>1480</v>
      </c>
      <c r="F311" s="267" t="s">
        <v>43</v>
      </c>
      <c r="G311" s="279">
        <v>5</v>
      </c>
      <c r="H311" s="268">
        <v>29.66</v>
      </c>
      <c r="I311" s="268">
        <f>6.9*1.2488</f>
        <v>8.616719999999999</v>
      </c>
      <c r="J311" s="268">
        <f>22.76*1.2488</f>
        <v>28.422688000000001</v>
      </c>
      <c r="K311" s="268">
        <f t="shared" ref="K311" si="156">I311+J311</f>
        <v>37.039408000000002</v>
      </c>
      <c r="L311" s="268">
        <f t="shared" ref="L311" si="157">G311*I311</f>
        <v>43.083599999999997</v>
      </c>
      <c r="M311" s="268">
        <f t="shared" ref="M311" si="158">G311*J311</f>
        <v>142.11344</v>
      </c>
      <c r="N311" s="268">
        <f t="shared" ref="N311" si="159">L311+M311</f>
        <v>185.19703999999999</v>
      </c>
      <c r="O311" s="269">
        <f t="shared" si="62"/>
        <v>8.07823417769255E-5</v>
      </c>
      <c r="P311" s="44"/>
      <c r="Q311" s="49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</row>
    <row r="312" spans="1:36" ht="27.6" x14ac:dyDescent="0.25">
      <c r="A312" s="55"/>
      <c r="B312" s="265" t="s">
        <v>1225</v>
      </c>
      <c r="C312" s="266" t="s">
        <v>202</v>
      </c>
      <c r="D312" s="265" t="s">
        <v>40</v>
      </c>
      <c r="E312" s="265" t="s">
        <v>203</v>
      </c>
      <c r="F312" s="267" t="s">
        <v>43</v>
      </c>
      <c r="G312" s="279">
        <v>8</v>
      </c>
      <c r="H312" s="268">
        <v>305.49</v>
      </c>
      <c r="I312" s="268">
        <f>24.04*1.2488</f>
        <v>30.021151999999997</v>
      </c>
      <c r="J312" s="268">
        <f>281.45*1.2488</f>
        <v>351.47475999999995</v>
      </c>
      <c r="K312" s="268">
        <f t="shared" ref="K312" si="160">I312+J312</f>
        <v>381.49591199999992</v>
      </c>
      <c r="L312" s="268">
        <f t="shared" ref="L312" si="161">G312*I312</f>
        <v>240.16921599999998</v>
      </c>
      <c r="M312" s="268">
        <f t="shared" ref="M312" si="162">G312*J312</f>
        <v>2811.7980799999996</v>
      </c>
      <c r="N312" s="268">
        <v>3052</v>
      </c>
      <c r="O312" s="269">
        <f t="shared" ref="O312:O375" si="163">N312/$N$472</f>
        <v>1.3312723956234755E-3</v>
      </c>
      <c r="P312" s="44"/>
      <c r="Q312" s="49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</row>
    <row r="313" spans="1:36" ht="27.6" x14ac:dyDescent="0.25">
      <c r="A313" s="55"/>
      <c r="B313" s="265" t="s">
        <v>1226</v>
      </c>
      <c r="C313" s="266" t="s">
        <v>1481</v>
      </c>
      <c r="D313" s="265" t="s">
        <v>200</v>
      </c>
      <c r="E313" s="265" t="s">
        <v>1482</v>
      </c>
      <c r="F313" s="267" t="s">
        <v>43</v>
      </c>
      <c r="G313" s="279">
        <v>8</v>
      </c>
      <c r="H313" s="268">
        <v>17.93</v>
      </c>
      <c r="I313" s="268">
        <f>6.9*1.2488</f>
        <v>8.616719999999999</v>
      </c>
      <c r="J313" s="268">
        <f>11.03*1.2488</f>
        <v>13.774263999999999</v>
      </c>
      <c r="K313" s="268">
        <f t="shared" ref="K313" si="164">I313+J313</f>
        <v>22.390983999999996</v>
      </c>
      <c r="L313" s="268">
        <f t="shared" ref="L313" si="165">G313*I313</f>
        <v>68.933759999999992</v>
      </c>
      <c r="M313" s="268">
        <f t="shared" ref="M313" si="166">G313*J313</f>
        <v>110.19411199999999</v>
      </c>
      <c r="N313" s="268">
        <v>179.12</v>
      </c>
      <c r="O313" s="269">
        <f t="shared" si="163"/>
        <v>7.813155684930438E-5</v>
      </c>
      <c r="P313" s="44"/>
      <c r="Q313" s="49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</row>
    <row r="314" spans="1:36" x14ac:dyDescent="0.25">
      <c r="A314" s="55"/>
      <c r="B314" s="265" t="s">
        <v>1227</v>
      </c>
      <c r="C314" s="266" t="s">
        <v>686</v>
      </c>
      <c r="D314" s="265" t="s">
        <v>200</v>
      </c>
      <c r="E314" s="265" t="s">
        <v>791</v>
      </c>
      <c r="F314" s="267" t="s">
        <v>43</v>
      </c>
      <c r="G314" s="279">
        <v>1</v>
      </c>
      <c r="H314" s="268">
        <v>219.75</v>
      </c>
      <c r="I314" s="268">
        <f>3.91*1.2488</f>
        <v>4.8828079999999998</v>
      </c>
      <c r="J314" s="268">
        <f>215.84*1.2488</f>
        <v>269.54099199999996</v>
      </c>
      <c r="K314" s="268">
        <f t="shared" ref="K314" si="167">I314+J314</f>
        <v>274.42379999999997</v>
      </c>
      <c r="L314" s="268">
        <f t="shared" ref="L314" si="168">G314*I314</f>
        <v>4.8828079999999998</v>
      </c>
      <c r="M314" s="268">
        <f t="shared" ref="M314" si="169">G314*J314</f>
        <v>269.54099199999996</v>
      </c>
      <c r="N314" s="268">
        <f t="shared" ref="N314" si="170">L314+M314</f>
        <v>274.42379999999997</v>
      </c>
      <c r="O314" s="269">
        <f t="shared" si="163"/>
        <v>1.1970276200592972E-4</v>
      </c>
      <c r="P314" s="44"/>
      <c r="Q314" s="49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</row>
    <row r="315" spans="1:36" ht="27.6" x14ac:dyDescent="0.25">
      <c r="A315" s="55"/>
      <c r="B315" s="265" t="s">
        <v>1228</v>
      </c>
      <c r="C315" s="266" t="s">
        <v>1483</v>
      </c>
      <c r="D315" s="265" t="s">
        <v>200</v>
      </c>
      <c r="E315" s="265" t="s">
        <v>1484</v>
      </c>
      <c r="F315" s="267" t="s">
        <v>43</v>
      </c>
      <c r="G315" s="279">
        <v>3</v>
      </c>
      <c r="H315" s="268">
        <v>24.04</v>
      </c>
      <c r="I315" s="268">
        <f>6.9*1.2488</f>
        <v>8.616719999999999</v>
      </c>
      <c r="J315" s="268">
        <f>17.14*1.2488</f>
        <v>21.404432</v>
      </c>
      <c r="K315" s="268">
        <f t="shared" ref="K315" si="171">I315+J315</f>
        <v>30.021152000000001</v>
      </c>
      <c r="L315" s="268">
        <f t="shared" ref="L315" si="172">G315*I315</f>
        <v>25.850159999999995</v>
      </c>
      <c r="M315" s="268">
        <f t="shared" ref="M315" si="173">G315*J315</f>
        <v>64.213296</v>
      </c>
      <c r="N315" s="268">
        <f t="shared" ref="N315" si="174">L315+M315</f>
        <v>90.063456000000002</v>
      </c>
      <c r="O315" s="269">
        <f t="shared" si="163"/>
        <v>3.9285384281536531E-5</v>
      </c>
      <c r="P315" s="44"/>
      <c r="Q315" s="49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</row>
    <row r="316" spans="1:36" x14ac:dyDescent="0.25">
      <c r="A316" s="55"/>
      <c r="B316" s="265" t="s">
        <v>1229</v>
      </c>
      <c r="C316" s="266" t="s">
        <v>199</v>
      </c>
      <c r="D316" s="265" t="s">
        <v>200</v>
      </c>
      <c r="E316" s="265" t="s">
        <v>792</v>
      </c>
      <c r="F316" s="267" t="s">
        <v>43</v>
      </c>
      <c r="G316" s="279">
        <v>2</v>
      </c>
      <c r="H316" s="268">
        <v>15.53</v>
      </c>
      <c r="I316" s="268">
        <f>6.9*1.2488</f>
        <v>8.616719999999999</v>
      </c>
      <c r="J316" s="268">
        <f>8.63*1.2488</f>
        <v>10.777144</v>
      </c>
      <c r="K316" s="268">
        <f t="shared" ref="K316:K317" si="175">I316+J316</f>
        <v>19.393864000000001</v>
      </c>
      <c r="L316" s="268">
        <f t="shared" ref="L316:L317" si="176">G316*I316</f>
        <v>17.233439999999998</v>
      </c>
      <c r="M316" s="268">
        <f t="shared" ref="M316:M317" si="177">G316*J316</f>
        <v>21.554288</v>
      </c>
      <c r="N316" s="268">
        <v>38.78</v>
      </c>
      <c r="O316" s="269">
        <f t="shared" si="163"/>
        <v>1.6915708880169852E-5</v>
      </c>
      <c r="P316" s="44"/>
      <c r="Q316" s="49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</row>
    <row r="317" spans="1:36" ht="27.6" x14ac:dyDescent="0.25">
      <c r="A317" s="55"/>
      <c r="B317" s="265" t="s">
        <v>1230</v>
      </c>
      <c r="C317" s="266" t="s">
        <v>1483</v>
      </c>
      <c r="D317" s="265" t="s">
        <v>200</v>
      </c>
      <c r="E317" s="265" t="s">
        <v>1484</v>
      </c>
      <c r="F317" s="267" t="s">
        <v>43</v>
      </c>
      <c r="G317" s="279">
        <v>37</v>
      </c>
      <c r="H317" s="268">
        <v>24.04</v>
      </c>
      <c r="I317" s="268">
        <f>6.9*1.2488</f>
        <v>8.616719999999999</v>
      </c>
      <c r="J317" s="268">
        <f>17.14*1.2488</f>
        <v>21.404432</v>
      </c>
      <c r="K317" s="268">
        <f t="shared" si="175"/>
        <v>30.021152000000001</v>
      </c>
      <c r="L317" s="268">
        <f t="shared" si="176"/>
        <v>318.81863999999996</v>
      </c>
      <c r="M317" s="268">
        <f t="shared" si="177"/>
        <v>791.96398399999998</v>
      </c>
      <c r="N317" s="268">
        <v>1110.74</v>
      </c>
      <c r="O317" s="269">
        <f t="shared" si="163"/>
        <v>4.8450114702320424E-4</v>
      </c>
      <c r="P317" s="44"/>
      <c r="Q317" s="49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</row>
    <row r="318" spans="1:36" ht="27.6" x14ac:dyDescent="0.25">
      <c r="A318" s="55"/>
      <c r="B318" s="265" t="s">
        <v>1231</v>
      </c>
      <c r="C318" s="266" t="s">
        <v>734</v>
      </c>
      <c r="D318" s="265" t="s">
        <v>200</v>
      </c>
      <c r="E318" s="265" t="s">
        <v>794</v>
      </c>
      <c r="F318" s="267" t="s">
        <v>43</v>
      </c>
      <c r="G318" s="279">
        <v>1</v>
      </c>
      <c r="H318" s="268">
        <v>239.11</v>
      </c>
      <c r="I318" s="268">
        <f>16.79*1.2488</f>
        <v>20.967351999999998</v>
      </c>
      <c r="J318" s="268">
        <f>222.32*1.2488</f>
        <v>277.63321599999995</v>
      </c>
      <c r="K318" s="268">
        <f t="shared" ref="K318" si="178">I318+J318</f>
        <v>298.60056799999995</v>
      </c>
      <c r="L318" s="268">
        <f t="shared" ref="L318" si="179">G318*I318</f>
        <v>20.967351999999998</v>
      </c>
      <c r="M318" s="268">
        <f t="shared" ref="M318" si="180">G318*J318</f>
        <v>277.63321599999995</v>
      </c>
      <c r="N318" s="268">
        <f t="shared" ref="N318" si="181">L318+M318</f>
        <v>298.60056799999995</v>
      </c>
      <c r="O318" s="269">
        <f t="shared" si="163"/>
        <v>1.3024858895671379E-4</v>
      </c>
      <c r="P318" s="44"/>
      <c r="Q318" s="49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</row>
    <row r="319" spans="1:36" x14ac:dyDescent="0.25">
      <c r="A319" s="55"/>
      <c r="B319" s="265" t="s">
        <v>1232</v>
      </c>
      <c r="C319" s="266" t="s">
        <v>1485</v>
      </c>
      <c r="D319" s="265" t="s">
        <v>200</v>
      </c>
      <c r="E319" s="265" t="s">
        <v>1486</v>
      </c>
      <c r="F319" s="267" t="s">
        <v>43</v>
      </c>
      <c r="G319" s="279">
        <v>4</v>
      </c>
      <c r="H319" s="268">
        <v>545.37</v>
      </c>
      <c r="I319" s="268">
        <f>184.35*1.2488</f>
        <v>230.21627999999998</v>
      </c>
      <c r="J319" s="268">
        <f>361.02*1.2488</f>
        <v>450.84177599999992</v>
      </c>
      <c r="K319" s="268">
        <f t="shared" ref="K319:K321" si="182">I319+J319</f>
        <v>681.05805599999985</v>
      </c>
      <c r="L319" s="268">
        <f t="shared" ref="L319:L321" si="183">G319*I319</f>
        <v>920.86511999999993</v>
      </c>
      <c r="M319" s="268">
        <f t="shared" ref="M319:M321" si="184">G319*J319</f>
        <v>1803.3671039999997</v>
      </c>
      <c r="N319" s="268">
        <v>2724.24</v>
      </c>
      <c r="O319" s="269">
        <f t="shared" si="163"/>
        <v>1.1883045580122205E-3</v>
      </c>
      <c r="P319" s="44"/>
      <c r="Q319" s="49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</row>
    <row r="320" spans="1:36" ht="27.6" x14ac:dyDescent="0.25">
      <c r="A320" s="55"/>
      <c r="B320" s="265" t="s">
        <v>1233</v>
      </c>
      <c r="C320" s="266" t="s">
        <v>1483</v>
      </c>
      <c r="D320" s="265" t="s">
        <v>200</v>
      </c>
      <c r="E320" s="265" t="s">
        <v>1484</v>
      </c>
      <c r="F320" s="267" t="s">
        <v>43</v>
      </c>
      <c r="G320" s="279">
        <v>2</v>
      </c>
      <c r="H320" s="268">
        <v>24.04</v>
      </c>
      <c r="I320" s="268">
        <f>6.9*1.2488</f>
        <v>8.616719999999999</v>
      </c>
      <c r="J320" s="268">
        <f>17.14*1.2488</f>
        <v>21.404432</v>
      </c>
      <c r="K320" s="268">
        <f t="shared" si="182"/>
        <v>30.021152000000001</v>
      </c>
      <c r="L320" s="268">
        <f t="shared" si="183"/>
        <v>17.233439999999998</v>
      </c>
      <c r="M320" s="268">
        <f t="shared" si="184"/>
        <v>42.808864</v>
      </c>
      <c r="N320" s="268">
        <f t="shared" ref="N320:N321" si="185">L320+M320</f>
        <v>60.042304000000001</v>
      </c>
      <c r="O320" s="269">
        <f t="shared" si="163"/>
        <v>2.6190256187691021E-5</v>
      </c>
      <c r="P320" s="44"/>
      <c r="Q320" s="49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</row>
    <row r="321" spans="1:36" ht="27.6" x14ac:dyDescent="0.25">
      <c r="A321" s="55"/>
      <c r="B321" s="265" t="s">
        <v>1234</v>
      </c>
      <c r="C321" s="266" t="s">
        <v>1483</v>
      </c>
      <c r="D321" s="265" t="s">
        <v>200</v>
      </c>
      <c r="E321" s="265" t="s">
        <v>1484</v>
      </c>
      <c r="F321" s="267" t="s">
        <v>43</v>
      </c>
      <c r="G321" s="279">
        <v>1</v>
      </c>
      <c r="H321" s="268">
        <v>24.04</v>
      </c>
      <c r="I321" s="268">
        <f>6.9*1.2488</f>
        <v>8.616719999999999</v>
      </c>
      <c r="J321" s="268">
        <f>17.14*1.2488</f>
        <v>21.404432</v>
      </c>
      <c r="K321" s="268">
        <f t="shared" si="182"/>
        <v>30.021152000000001</v>
      </c>
      <c r="L321" s="268">
        <f t="shared" si="183"/>
        <v>8.616719999999999</v>
      </c>
      <c r="M321" s="268">
        <f t="shared" si="184"/>
        <v>21.404432</v>
      </c>
      <c r="N321" s="268">
        <f t="shared" si="185"/>
        <v>30.021152000000001</v>
      </c>
      <c r="O321" s="269">
        <f t="shared" si="163"/>
        <v>1.309512809384551E-5</v>
      </c>
      <c r="P321" s="44"/>
      <c r="Q321" s="49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</row>
    <row r="322" spans="1:36" x14ac:dyDescent="0.25">
      <c r="A322" s="55"/>
      <c r="B322" s="261">
        <v>16</v>
      </c>
      <c r="C322" s="261"/>
      <c r="D322" s="261"/>
      <c r="E322" s="261" t="s">
        <v>688</v>
      </c>
      <c r="F322" s="261"/>
      <c r="G322" s="278"/>
      <c r="H322" s="262"/>
      <c r="I322" s="261"/>
      <c r="J322" s="261"/>
      <c r="K322" s="261"/>
      <c r="L322" s="261"/>
      <c r="M322" s="261"/>
      <c r="N322" s="263">
        <f>N323+N385+N391</f>
        <v>287072.08409280004</v>
      </c>
      <c r="O322" s="264">
        <f>N322/$N$472</f>
        <v>0.12521990206646322</v>
      </c>
      <c r="P322" s="44"/>
      <c r="Q322" s="49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</row>
    <row r="323" spans="1:36" x14ac:dyDescent="0.25">
      <c r="A323" s="55"/>
      <c r="B323" s="261" t="s">
        <v>269</v>
      </c>
      <c r="C323" s="261"/>
      <c r="D323" s="261"/>
      <c r="E323" s="261" t="s">
        <v>689</v>
      </c>
      <c r="F323" s="261"/>
      <c r="G323" s="278"/>
      <c r="H323" s="262"/>
      <c r="I323" s="261"/>
      <c r="J323" s="261"/>
      <c r="K323" s="261"/>
      <c r="L323" s="261"/>
      <c r="M323" s="261"/>
      <c r="N323" s="263">
        <f>SUM(N324:N384)</f>
        <v>221301.77631680004</v>
      </c>
      <c r="O323" s="264">
        <f>N323/$N$472</f>
        <v>9.6531109407928223E-2</v>
      </c>
      <c r="P323" s="44"/>
      <c r="Q323" s="49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</row>
    <row r="324" spans="1:36" ht="27.6" x14ac:dyDescent="0.25">
      <c r="A324" s="55"/>
      <c r="B324" s="265" t="s">
        <v>865</v>
      </c>
      <c r="C324" s="266">
        <v>91876</v>
      </c>
      <c r="D324" s="265" t="s">
        <v>40</v>
      </c>
      <c r="E324" s="265" t="s">
        <v>1544</v>
      </c>
      <c r="F324" s="267" t="s">
        <v>43</v>
      </c>
      <c r="G324" s="279">
        <v>1</v>
      </c>
      <c r="H324" s="268">
        <v>13.53</v>
      </c>
      <c r="I324" s="268">
        <f>12.07*1.2488</f>
        <v>15.073015999999999</v>
      </c>
      <c r="J324" s="268">
        <f>1.46*1.2488</f>
        <v>1.8232479999999998</v>
      </c>
      <c r="K324" s="268">
        <f t="shared" ref="K324:K328" si="186">I324+J324</f>
        <v>16.896263999999999</v>
      </c>
      <c r="L324" s="268">
        <f t="shared" ref="L324:L328" si="187">G324*I324</f>
        <v>15.073015999999999</v>
      </c>
      <c r="M324" s="268">
        <f t="shared" ref="M324:M328" si="188">G324*J324</f>
        <v>1.8232479999999998</v>
      </c>
      <c r="N324" s="268">
        <f t="shared" ref="N324:N328" si="189">L324+M324</f>
        <v>16.896263999999999</v>
      </c>
      <c r="O324" s="269">
        <f t="shared" si="163"/>
        <v>7.3700949712865941E-6</v>
      </c>
      <c r="P324" s="44"/>
      <c r="Q324" s="49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</row>
    <row r="325" spans="1:36" ht="27.6" x14ac:dyDescent="0.25">
      <c r="A325" s="55"/>
      <c r="B325" s="265" t="s">
        <v>866</v>
      </c>
      <c r="C325" s="266" t="s">
        <v>338</v>
      </c>
      <c r="D325" s="265" t="s">
        <v>40</v>
      </c>
      <c r="E325" s="265" t="s">
        <v>339</v>
      </c>
      <c r="F325" s="267" t="s">
        <v>43</v>
      </c>
      <c r="G325" s="279">
        <v>292</v>
      </c>
      <c r="H325" s="268">
        <v>24.6</v>
      </c>
      <c r="I325" s="268">
        <f>17.27*1.2488</f>
        <v>21.566775999999997</v>
      </c>
      <c r="J325" s="268">
        <f>7.33*1.2488</f>
        <v>9.1537039999999994</v>
      </c>
      <c r="K325" s="268">
        <f t="shared" si="186"/>
        <v>30.720479999999995</v>
      </c>
      <c r="L325" s="268">
        <f t="shared" si="187"/>
        <v>6297.498591999999</v>
      </c>
      <c r="M325" s="268">
        <f t="shared" si="188"/>
        <v>2672.8815679999998</v>
      </c>
      <c r="N325" s="268">
        <v>8970.24</v>
      </c>
      <c r="O325" s="269">
        <f t="shared" si="163"/>
        <v>3.9127892837868697E-3</v>
      </c>
      <c r="P325" s="44"/>
      <c r="Q325" s="49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</row>
    <row r="326" spans="1:36" x14ac:dyDescent="0.25">
      <c r="A326" s="55"/>
      <c r="B326" s="265" t="s">
        <v>1044</v>
      </c>
      <c r="C326" s="266" t="s">
        <v>207</v>
      </c>
      <c r="D326" s="265" t="s">
        <v>40</v>
      </c>
      <c r="E326" s="265" t="s">
        <v>208</v>
      </c>
      <c r="F326" s="267" t="s">
        <v>43</v>
      </c>
      <c r="G326" s="279">
        <v>86</v>
      </c>
      <c r="H326" s="268">
        <v>20.47</v>
      </c>
      <c r="I326" s="268">
        <f>13.05*1.2488</f>
        <v>16.29684</v>
      </c>
      <c r="J326" s="268">
        <f>7.42*1.2488</f>
        <v>9.2660959999999992</v>
      </c>
      <c r="K326" s="268">
        <f t="shared" si="186"/>
        <v>25.562936000000001</v>
      </c>
      <c r="L326" s="268">
        <f t="shared" si="187"/>
        <v>1401.5282399999999</v>
      </c>
      <c r="M326" s="268">
        <f t="shared" si="188"/>
        <v>796.88425599999994</v>
      </c>
      <c r="N326" s="268">
        <v>2198.16</v>
      </c>
      <c r="O326" s="269">
        <f t="shared" si="163"/>
        <v>9.588301864887611E-4</v>
      </c>
      <c r="P326" s="44"/>
      <c r="Q326" s="49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</row>
    <row r="327" spans="1:36" ht="27.6" x14ac:dyDescent="0.25">
      <c r="A327" s="55"/>
      <c r="B327" s="265" t="s">
        <v>1598</v>
      </c>
      <c r="C327" s="266" t="s">
        <v>690</v>
      </c>
      <c r="D327" s="265" t="s">
        <v>40</v>
      </c>
      <c r="E327" s="265" t="s">
        <v>691</v>
      </c>
      <c r="F327" s="267" t="s">
        <v>43</v>
      </c>
      <c r="G327" s="279">
        <v>5</v>
      </c>
      <c r="H327" s="268">
        <v>23.9</v>
      </c>
      <c r="I327" s="268">
        <f>17.27*1.2488</f>
        <v>21.566775999999997</v>
      </c>
      <c r="J327" s="268">
        <f>6.63*1.2488</f>
        <v>8.2795439999999996</v>
      </c>
      <c r="K327" s="268">
        <f t="shared" si="186"/>
        <v>29.846319999999999</v>
      </c>
      <c r="L327" s="268">
        <f t="shared" si="187"/>
        <v>107.83387999999999</v>
      </c>
      <c r="M327" s="268">
        <f t="shared" si="188"/>
        <v>41.39772</v>
      </c>
      <c r="N327" s="268">
        <v>149.25</v>
      </c>
      <c r="O327" s="269">
        <f t="shared" si="163"/>
        <v>6.5102360762386545E-5</v>
      </c>
      <c r="P327" s="44"/>
      <c r="Q327" s="49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</row>
    <row r="328" spans="1:36" ht="27.6" x14ac:dyDescent="0.25">
      <c r="A328" s="55"/>
      <c r="B328" s="265" t="s">
        <v>1599</v>
      </c>
      <c r="C328" s="266" t="s">
        <v>1079</v>
      </c>
      <c r="D328" s="265" t="s">
        <v>40</v>
      </c>
      <c r="E328" s="265" t="s">
        <v>1080</v>
      </c>
      <c r="F328" s="267" t="s">
        <v>43</v>
      </c>
      <c r="G328" s="279">
        <v>1</v>
      </c>
      <c r="H328" s="268">
        <v>31.66</v>
      </c>
      <c r="I328" s="268">
        <f>21.42*1.2488</f>
        <v>26.749296000000001</v>
      </c>
      <c r="J328" s="268">
        <f>10.24*1.2488</f>
        <v>12.787711999999999</v>
      </c>
      <c r="K328" s="268">
        <f t="shared" si="186"/>
        <v>39.537008</v>
      </c>
      <c r="L328" s="268">
        <f t="shared" si="187"/>
        <v>26.749296000000001</v>
      </c>
      <c r="M328" s="268">
        <f t="shared" si="188"/>
        <v>12.787711999999999</v>
      </c>
      <c r="N328" s="268">
        <f t="shared" si="189"/>
        <v>39.537008</v>
      </c>
      <c r="O328" s="269">
        <f t="shared" si="163"/>
        <v>1.7245913288317339E-5</v>
      </c>
      <c r="P328" s="44"/>
      <c r="Q328" s="49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</row>
    <row r="329" spans="1:36" ht="27.6" x14ac:dyDescent="0.25">
      <c r="A329" s="55"/>
      <c r="B329" s="265" t="s">
        <v>1600</v>
      </c>
      <c r="C329" s="266" t="s">
        <v>895</v>
      </c>
      <c r="D329" s="265" t="s">
        <v>40</v>
      </c>
      <c r="E329" s="265" t="s">
        <v>896</v>
      </c>
      <c r="F329" s="267" t="s">
        <v>54</v>
      </c>
      <c r="G329" s="279">
        <v>258</v>
      </c>
      <c r="H329" s="268">
        <v>26.98</v>
      </c>
      <c r="I329" s="268">
        <f>6.68*1.2488</f>
        <v>8.3419839999999983</v>
      </c>
      <c r="J329" s="268">
        <f>20.3*1.2488</f>
        <v>25.350639999999999</v>
      </c>
      <c r="K329" s="268">
        <f t="shared" ref="K329:K369" si="190">I329+J329</f>
        <v>33.692623999999995</v>
      </c>
      <c r="L329" s="268">
        <f t="shared" ref="L329:L369" si="191">G329*I329</f>
        <v>2152.2318719999994</v>
      </c>
      <c r="M329" s="268">
        <f t="shared" ref="M329:M369" si="192">G329*J329</f>
        <v>6540.4651199999998</v>
      </c>
      <c r="N329" s="268">
        <v>8692.02</v>
      </c>
      <c r="O329" s="269">
        <f t="shared" si="163"/>
        <v>3.7914306317847848E-3</v>
      </c>
      <c r="P329" s="44"/>
      <c r="Q329" s="49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</row>
    <row r="330" spans="1:36" ht="27.6" x14ac:dyDescent="0.25">
      <c r="A330" s="55"/>
      <c r="B330" s="265" t="s">
        <v>1601</v>
      </c>
      <c r="C330" s="266" t="s">
        <v>897</v>
      </c>
      <c r="D330" s="265" t="s">
        <v>40</v>
      </c>
      <c r="E330" s="265" t="s">
        <v>898</v>
      </c>
      <c r="F330" s="267" t="s">
        <v>54</v>
      </c>
      <c r="G330" s="279">
        <v>152.69999999999999</v>
      </c>
      <c r="H330" s="268">
        <v>27.82</v>
      </c>
      <c r="I330" s="268">
        <f>3.53*1.2488</f>
        <v>4.4082639999999991</v>
      </c>
      <c r="J330" s="268">
        <f>24.29*1.2488</f>
        <v>30.333351999999998</v>
      </c>
      <c r="K330" s="268">
        <f t="shared" si="190"/>
        <v>34.741615999999993</v>
      </c>
      <c r="L330" s="268">
        <f t="shared" si="191"/>
        <v>673.14191279999977</v>
      </c>
      <c r="M330" s="268">
        <f t="shared" si="192"/>
        <v>4631.9028503999989</v>
      </c>
      <c r="N330" s="268">
        <v>5304.8</v>
      </c>
      <c r="O330" s="269">
        <f t="shared" si="163"/>
        <v>2.3139363710037398E-3</v>
      </c>
      <c r="P330" s="44"/>
      <c r="Q330" s="49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</row>
    <row r="331" spans="1:36" ht="27.6" x14ac:dyDescent="0.25">
      <c r="A331" s="55"/>
      <c r="B331" s="265" t="s">
        <v>1602</v>
      </c>
      <c r="C331" s="266" t="s">
        <v>899</v>
      </c>
      <c r="D331" s="265" t="s">
        <v>40</v>
      </c>
      <c r="E331" s="265" t="s">
        <v>900</v>
      </c>
      <c r="F331" s="267" t="s">
        <v>54</v>
      </c>
      <c r="G331" s="279">
        <v>206.4</v>
      </c>
      <c r="H331" s="268">
        <v>38.06</v>
      </c>
      <c r="I331" s="268">
        <f>4.06*1.2488</f>
        <v>5.0701279999999995</v>
      </c>
      <c r="J331" s="268">
        <f>34*1.2488</f>
        <v>42.459199999999996</v>
      </c>
      <c r="K331" s="268">
        <f t="shared" si="190"/>
        <v>47.529327999999992</v>
      </c>
      <c r="L331" s="268">
        <f t="shared" si="191"/>
        <v>1046.4744191999998</v>
      </c>
      <c r="M331" s="268">
        <f t="shared" si="192"/>
        <v>8763.5788799999991</v>
      </c>
      <c r="N331" s="268">
        <v>9810.19</v>
      </c>
      <c r="O331" s="269">
        <f t="shared" si="163"/>
        <v>4.2791727204526423E-3</v>
      </c>
      <c r="P331" s="44"/>
      <c r="Q331" s="49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</row>
    <row r="332" spans="1:36" ht="27.6" x14ac:dyDescent="0.25">
      <c r="A332" s="55"/>
      <c r="B332" s="265" t="s">
        <v>1603</v>
      </c>
      <c r="C332" s="266" t="s">
        <v>901</v>
      </c>
      <c r="D332" s="265" t="s">
        <v>40</v>
      </c>
      <c r="E332" s="265" t="s">
        <v>902</v>
      </c>
      <c r="F332" s="267" t="s">
        <v>54</v>
      </c>
      <c r="G332" s="279">
        <v>10.4</v>
      </c>
      <c r="H332" s="268">
        <v>54.74</v>
      </c>
      <c r="I332" s="268">
        <f>4.85*1.2488</f>
        <v>6.0566799999999992</v>
      </c>
      <c r="J332" s="268">
        <f>49.89*1.2488</f>
        <v>62.302631999999996</v>
      </c>
      <c r="K332" s="268">
        <f t="shared" si="190"/>
        <v>68.359311999999989</v>
      </c>
      <c r="L332" s="268">
        <f t="shared" si="191"/>
        <v>62.989471999999992</v>
      </c>
      <c r="M332" s="268">
        <f t="shared" si="192"/>
        <v>647.94737279999993</v>
      </c>
      <c r="N332" s="268">
        <f t="shared" ref="N332:N369" si="193">L332+M332</f>
        <v>710.9368447999999</v>
      </c>
      <c r="O332" s="269">
        <f t="shared" si="163"/>
        <v>3.1010832126929585E-4</v>
      </c>
      <c r="P332" s="44"/>
      <c r="Q332" s="49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</row>
    <row r="333" spans="1:36" ht="27.6" x14ac:dyDescent="0.25">
      <c r="A333" s="55"/>
      <c r="B333" s="265" t="s">
        <v>1604</v>
      </c>
      <c r="C333" s="266" t="s">
        <v>1081</v>
      </c>
      <c r="D333" s="265" t="s">
        <v>40</v>
      </c>
      <c r="E333" s="265" t="s">
        <v>1082</v>
      </c>
      <c r="F333" s="267" t="s">
        <v>54</v>
      </c>
      <c r="G333" s="279">
        <v>83.6</v>
      </c>
      <c r="H333" s="268">
        <v>10.93</v>
      </c>
      <c r="I333" s="268">
        <f>2.98*1.2488</f>
        <v>3.7214239999999998</v>
      </c>
      <c r="J333" s="268">
        <f>7.95*1.2488</f>
        <v>9.9279599999999988</v>
      </c>
      <c r="K333" s="268">
        <f t="shared" si="190"/>
        <v>13.649383999999998</v>
      </c>
      <c r="L333" s="268">
        <f t="shared" si="191"/>
        <v>311.11104639999996</v>
      </c>
      <c r="M333" s="268">
        <f t="shared" si="192"/>
        <v>829.97745599999985</v>
      </c>
      <c r="N333" s="268">
        <v>1141.1400000000001</v>
      </c>
      <c r="O333" s="269">
        <f t="shared" si="163"/>
        <v>4.9776152737279593E-4</v>
      </c>
      <c r="P333" s="44"/>
      <c r="Q333" s="49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</row>
    <row r="334" spans="1:36" ht="27.6" x14ac:dyDescent="0.25">
      <c r="A334" s="55"/>
      <c r="B334" s="265" t="s">
        <v>1605</v>
      </c>
      <c r="C334" s="266" t="s">
        <v>209</v>
      </c>
      <c r="D334" s="265" t="s">
        <v>40</v>
      </c>
      <c r="E334" s="265" t="s">
        <v>210</v>
      </c>
      <c r="F334" s="267" t="s">
        <v>54</v>
      </c>
      <c r="G334" s="279">
        <v>1935.3</v>
      </c>
      <c r="H334" s="268">
        <v>3.47</v>
      </c>
      <c r="I334" s="268">
        <f>1.35*1.2488</f>
        <v>1.68588</v>
      </c>
      <c r="J334" s="268">
        <f>2.72*1.2488</f>
        <v>3.3967360000000002</v>
      </c>
      <c r="K334" s="268">
        <f t="shared" si="190"/>
        <v>5.0826159999999998</v>
      </c>
      <c r="L334" s="268">
        <f t="shared" si="191"/>
        <v>3262.6835639999999</v>
      </c>
      <c r="M334" s="268">
        <f t="shared" si="192"/>
        <v>6573.7031808000002</v>
      </c>
      <c r="N334" s="268">
        <v>9831.32</v>
      </c>
      <c r="O334" s="269">
        <f t="shared" si="163"/>
        <v>4.2883895571890519E-3</v>
      </c>
      <c r="P334" s="44"/>
      <c r="Q334" s="49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</row>
    <row r="335" spans="1:36" ht="27.6" x14ac:dyDescent="0.25">
      <c r="A335" s="55"/>
      <c r="B335" s="265" t="s">
        <v>1606</v>
      </c>
      <c r="C335" s="266" t="s">
        <v>211</v>
      </c>
      <c r="D335" s="265" t="s">
        <v>40</v>
      </c>
      <c r="E335" s="265" t="s">
        <v>212</v>
      </c>
      <c r="F335" s="267" t="s">
        <v>54</v>
      </c>
      <c r="G335" s="279">
        <v>3658.8</v>
      </c>
      <c r="H335" s="268">
        <v>4.9000000000000004</v>
      </c>
      <c r="I335" s="268">
        <f>1.7*1.2488</f>
        <v>2.12296</v>
      </c>
      <c r="J335" s="268">
        <f>3.2*1.2488</f>
        <v>3.9961599999999997</v>
      </c>
      <c r="K335" s="268">
        <f t="shared" si="190"/>
        <v>6.1191199999999997</v>
      </c>
      <c r="L335" s="268">
        <f t="shared" si="191"/>
        <v>7767.4860480000007</v>
      </c>
      <c r="M335" s="268">
        <f t="shared" si="192"/>
        <v>14621.150207999999</v>
      </c>
      <c r="N335" s="268">
        <v>22391.86</v>
      </c>
      <c r="O335" s="269">
        <f t="shared" si="163"/>
        <v>9.7672559320660154E-3</v>
      </c>
      <c r="P335" s="44"/>
      <c r="Q335" s="49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</row>
    <row r="336" spans="1:36" ht="27.6" x14ac:dyDescent="0.25">
      <c r="A336" s="55"/>
      <c r="B336" s="265" t="s">
        <v>1607</v>
      </c>
      <c r="C336" s="266" t="s">
        <v>213</v>
      </c>
      <c r="D336" s="265" t="s">
        <v>40</v>
      </c>
      <c r="E336" s="265" t="s">
        <v>214</v>
      </c>
      <c r="F336" s="267" t="s">
        <v>54</v>
      </c>
      <c r="G336" s="279">
        <v>677</v>
      </c>
      <c r="H336" s="268">
        <v>7.39</v>
      </c>
      <c r="I336" s="268">
        <f>2.28*1.2488</f>
        <v>2.8472639999999996</v>
      </c>
      <c r="J336" s="268">
        <f>5.11*1.2488</f>
        <v>6.3813680000000002</v>
      </c>
      <c r="K336" s="268">
        <f t="shared" si="190"/>
        <v>9.2286319999999993</v>
      </c>
      <c r="L336" s="268">
        <f t="shared" si="191"/>
        <v>1927.5977279999997</v>
      </c>
      <c r="M336" s="268">
        <f t="shared" si="192"/>
        <v>4320.1861360000003</v>
      </c>
      <c r="N336" s="268">
        <v>6248.71</v>
      </c>
      <c r="O336" s="269">
        <f t="shared" si="163"/>
        <v>2.7256668188913396E-3</v>
      </c>
      <c r="P336" s="44"/>
      <c r="Q336" s="49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</row>
    <row r="337" spans="1:36" ht="27.6" x14ac:dyDescent="0.25">
      <c r="A337" s="55"/>
      <c r="B337" s="265" t="s">
        <v>1608</v>
      </c>
      <c r="C337" s="266" t="s">
        <v>215</v>
      </c>
      <c r="D337" s="265" t="s">
        <v>40</v>
      </c>
      <c r="E337" s="265" t="s">
        <v>216</v>
      </c>
      <c r="F337" s="267" t="s">
        <v>54</v>
      </c>
      <c r="G337" s="279">
        <v>69.900000000000006</v>
      </c>
      <c r="H337" s="268">
        <v>10.220000000000001</v>
      </c>
      <c r="I337" s="268">
        <f>2.99*1.2488</f>
        <v>3.7339120000000001</v>
      </c>
      <c r="J337" s="268">
        <f>7.23*1.2488</f>
        <v>9.0288240000000002</v>
      </c>
      <c r="K337" s="268">
        <f t="shared" si="190"/>
        <v>12.762736</v>
      </c>
      <c r="L337" s="268">
        <f t="shared" si="191"/>
        <v>261.00044880000002</v>
      </c>
      <c r="M337" s="268">
        <f t="shared" si="192"/>
        <v>631.11479760000009</v>
      </c>
      <c r="N337" s="268">
        <v>891.92</v>
      </c>
      <c r="O337" s="269">
        <f t="shared" si="163"/>
        <v>3.8905258030946604E-4</v>
      </c>
      <c r="P337" s="44"/>
      <c r="Q337" s="49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</row>
    <row r="338" spans="1:36" ht="27.6" x14ac:dyDescent="0.25">
      <c r="A338" s="55"/>
      <c r="B338" s="265" t="s">
        <v>1609</v>
      </c>
      <c r="C338" s="266" t="s">
        <v>335</v>
      </c>
      <c r="D338" s="265" t="s">
        <v>40</v>
      </c>
      <c r="E338" s="265" t="s">
        <v>336</v>
      </c>
      <c r="F338" s="267" t="s">
        <v>43</v>
      </c>
      <c r="G338" s="279">
        <v>2</v>
      </c>
      <c r="H338" s="268">
        <v>185.57</v>
      </c>
      <c r="I338" s="268">
        <f>94.2*1.2488</f>
        <v>117.63696</v>
      </c>
      <c r="J338" s="268">
        <f>91.37*1.2488</f>
        <v>114.102856</v>
      </c>
      <c r="K338" s="268">
        <f t="shared" si="190"/>
        <v>231.73981600000002</v>
      </c>
      <c r="L338" s="268">
        <f t="shared" si="191"/>
        <v>235.27392</v>
      </c>
      <c r="M338" s="268">
        <f t="shared" si="192"/>
        <v>228.20571200000001</v>
      </c>
      <c r="N338" s="268">
        <f t="shared" si="193"/>
        <v>463.47963200000004</v>
      </c>
      <c r="O338" s="269">
        <f t="shared" si="163"/>
        <v>2.0216829620423556E-4</v>
      </c>
      <c r="P338" s="44"/>
      <c r="Q338" s="49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</row>
    <row r="339" spans="1:36" x14ac:dyDescent="0.25">
      <c r="A339" s="55"/>
      <c r="B339" s="265" t="s">
        <v>1610</v>
      </c>
      <c r="C339" s="266" t="s">
        <v>1735</v>
      </c>
      <c r="D339" s="265" t="s">
        <v>1546</v>
      </c>
      <c r="E339" s="265" t="s">
        <v>1545</v>
      </c>
      <c r="F339" s="267" t="s">
        <v>43</v>
      </c>
      <c r="G339" s="279">
        <v>3</v>
      </c>
      <c r="H339" s="268">
        <v>54.27</v>
      </c>
      <c r="I339" s="268">
        <f>26.11*1.2488</f>
        <v>32.606167999999997</v>
      </c>
      <c r="J339" s="268">
        <f>28.16*1.2488</f>
        <v>35.166207999999997</v>
      </c>
      <c r="K339" s="268">
        <f t="shared" si="190"/>
        <v>67.772375999999994</v>
      </c>
      <c r="L339" s="268">
        <f t="shared" si="191"/>
        <v>97.81850399999999</v>
      </c>
      <c r="M339" s="268">
        <f t="shared" si="192"/>
        <v>105.49862399999999</v>
      </c>
      <c r="N339" s="268">
        <v>203.31</v>
      </c>
      <c r="O339" s="269">
        <f t="shared" si="163"/>
        <v>8.8683155555114299E-5</v>
      </c>
      <c r="P339" s="44"/>
      <c r="Q339" s="49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</row>
    <row r="340" spans="1:36" x14ac:dyDescent="0.25">
      <c r="A340" s="55"/>
      <c r="B340" s="265" t="s">
        <v>1611</v>
      </c>
      <c r="C340" s="266" t="s">
        <v>1489</v>
      </c>
      <c r="D340" s="265" t="s">
        <v>1546</v>
      </c>
      <c r="E340" s="265" t="s">
        <v>1547</v>
      </c>
      <c r="F340" s="267" t="s">
        <v>43</v>
      </c>
      <c r="G340" s="279">
        <v>1</v>
      </c>
      <c r="H340" s="268">
        <v>75.89</v>
      </c>
      <c r="I340" s="268">
        <f>21.07*1.2488</f>
        <v>26.312215999999999</v>
      </c>
      <c r="J340" s="268">
        <f>54.02*1.2488</f>
        <v>67.460176000000004</v>
      </c>
      <c r="K340" s="268">
        <f t="shared" si="190"/>
        <v>93.772391999999996</v>
      </c>
      <c r="L340" s="268">
        <f t="shared" si="191"/>
        <v>26.312215999999999</v>
      </c>
      <c r="M340" s="268">
        <f t="shared" si="192"/>
        <v>67.460176000000004</v>
      </c>
      <c r="N340" s="268">
        <f t="shared" si="193"/>
        <v>93.772391999999996</v>
      </c>
      <c r="O340" s="269">
        <f t="shared" si="163"/>
        <v>4.0903210006940899E-5</v>
      </c>
      <c r="P340" s="44"/>
      <c r="Q340" s="49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</row>
    <row r="341" spans="1:36" ht="27.6" x14ac:dyDescent="0.25">
      <c r="A341" s="55"/>
      <c r="B341" s="265" t="s">
        <v>1612</v>
      </c>
      <c r="C341" s="266" t="s">
        <v>217</v>
      </c>
      <c r="D341" s="265" t="s">
        <v>40</v>
      </c>
      <c r="E341" s="265" t="s">
        <v>218</v>
      </c>
      <c r="F341" s="267" t="s">
        <v>43</v>
      </c>
      <c r="G341" s="279">
        <v>8</v>
      </c>
      <c r="H341" s="268">
        <v>46.67</v>
      </c>
      <c r="I341" s="268">
        <f>26.13*1.2488</f>
        <v>32.631143999999999</v>
      </c>
      <c r="J341" s="268">
        <f>20.54*1.2488</f>
        <v>25.650351999999998</v>
      </c>
      <c r="K341" s="268">
        <f t="shared" si="190"/>
        <v>58.281495999999997</v>
      </c>
      <c r="L341" s="268">
        <f t="shared" si="191"/>
        <v>261.04915199999999</v>
      </c>
      <c r="M341" s="268">
        <f t="shared" si="192"/>
        <v>205.20281599999998</v>
      </c>
      <c r="N341" s="268">
        <v>466.24</v>
      </c>
      <c r="O341" s="269">
        <f t="shared" si="163"/>
        <v>2.0337235967742112E-4</v>
      </c>
      <c r="P341" s="44"/>
      <c r="Q341" s="49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</row>
    <row r="342" spans="1:36" ht="27.6" x14ac:dyDescent="0.25">
      <c r="A342" s="55"/>
      <c r="B342" s="265" t="s">
        <v>1613</v>
      </c>
      <c r="C342" s="266" t="s">
        <v>1422</v>
      </c>
      <c r="D342" s="265" t="s">
        <v>40</v>
      </c>
      <c r="E342" s="265" t="s">
        <v>1423</v>
      </c>
      <c r="F342" s="267" t="s">
        <v>43</v>
      </c>
      <c r="G342" s="279">
        <v>1</v>
      </c>
      <c r="H342" s="268">
        <v>74.67</v>
      </c>
      <c r="I342" s="268">
        <f>41.07*1.2488</f>
        <v>51.288215999999998</v>
      </c>
      <c r="J342" s="268">
        <f>33.6*1.2488</f>
        <v>41.959679999999999</v>
      </c>
      <c r="K342" s="268">
        <f t="shared" si="190"/>
        <v>93.247895999999997</v>
      </c>
      <c r="L342" s="268">
        <f t="shared" si="191"/>
        <v>51.288215999999998</v>
      </c>
      <c r="M342" s="268">
        <f t="shared" si="192"/>
        <v>41.959679999999999</v>
      </c>
      <c r="N342" s="268">
        <f t="shared" si="193"/>
        <v>93.247895999999997</v>
      </c>
      <c r="O342" s="269">
        <f t="shared" si="163"/>
        <v>4.0674426571025129E-5</v>
      </c>
      <c r="P342" s="44"/>
      <c r="Q342" s="49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</row>
    <row r="343" spans="1:36" ht="27.6" x14ac:dyDescent="0.25">
      <c r="A343" s="55"/>
      <c r="B343" s="265" t="s">
        <v>1614</v>
      </c>
      <c r="C343" s="266" t="s">
        <v>700</v>
      </c>
      <c r="D343" s="265" t="s">
        <v>40</v>
      </c>
      <c r="E343" s="265" t="s">
        <v>701</v>
      </c>
      <c r="F343" s="267" t="s">
        <v>43</v>
      </c>
      <c r="G343" s="279">
        <v>2</v>
      </c>
      <c r="H343" s="268">
        <v>66.13</v>
      </c>
      <c r="I343" s="268">
        <f>36.02*1.2488</f>
        <v>44.981776000000004</v>
      </c>
      <c r="J343" s="268">
        <f>30.11*1.2488</f>
        <v>37.601367999999994</v>
      </c>
      <c r="K343" s="268">
        <f t="shared" si="190"/>
        <v>82.583144000000004</v>
      </c>
      <c r="L343" s="268">
        <f t="shared" si="191"/>
        <v>89.963552000000007</v>
      </c>
      <c r="M343" s="268">
        <f t="shared" si="192"/>
        <v>75.202735999999987</v>
      </c>
      <c r="N343" s="268">
        <v>165.16</v>
      </c>
      <c r="O343" s="269">
        <f t="shared" si="163"/>
        <v>7.2042250609820845E-5</v>
      </c>
      <c r="P343" s="44"/>
      <c r="Q343" s="49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</row>
    <row r="344" spans="1:36" ht="27.6" x14ac:dyDescent="0.25">
      <c r="A344" s="55"/>
      <c r="B344" s="265" t="s">
        <v>1615</v>
      </c>
      <c r="C344" s="266" t="s">
        <v>702</v>
      </c>
      <c r="D344" s="265" t="s">
        <v>40</v>
      </c>
      <c r="E344" s="265" t="s">
        <v>703</v>
      </c>
      <c r="F344" s="267" t="s">
        <v>43</v>
      </c>
      <c r="G344" s="279">
        <v>23</v>
      </c>
      <c r="H344" s="268">
        <v>38.200000000000003</v>
      </c>
      <c r="I344" s="268">
        <f>21.14*1.2488</f>
        <v>26.399632</v>
      </c>
      <c r="J344" s="268">
        <f>17.06*1.2488</f>
        <v>21.304527999999998</v>
      </c>
      <c r="K344" s="268">
        <f t="shared" si="190"/>
        <v>47.704160000000002</v>
      </c>
      <c r="L344" s="268">
        <f t="shared" si="191"/>
        <v>607.19153600000004</v>
      </c>
      <c r="M344" s="268">
        <f t="shared" si="192"/>
        <v>490.00414399999994</v>
      </c>
      <c r="N344" s="268">
        <v>1097.0999999999999</v>
      </c>
      <c r="O344" s="269">
        <f t="shared" si="163"/>
        <v>4.7855142373476897E-4</v>
      </c>
      <c r="P344" s="44"/>
      <c r="Q344" s="49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</row>
    <row r="345" spans="1:36" x14ac:dyDescent="0.25">
      <c r="A345" s="55"/>
      <c r="B345" s="265" t="s">
        <v>1616</v>
      </c>
      <c r="C345" s="266">
        <v>92356</v>
      </c>
      <c r="D345" s="265" t="s">
        <v>40</v>
      </c>
      <c r="E345" s="265" t="s">
        <v>1548</v>
      </c>
      <c r="F345" s="267" t="s">
        <v>43</v>
      </c>
      <c r="G345" s="279">
        <v>26</v>
      </c>
      <c r="H345" s="268">
        <v>12.02</v>
      </c>
      <c r="I345" s="268">
        <f>9.65*1.2488</f>
        <v>12.05092</v>
      </c>
      <c r="J345" s="268">
        <f>2.37*1.2488</f>
        <v>2.9596559999999998</v>
      </c>
      <c r="K345" s="268">
        <f t="shared" si="190"/>
        <v>15.010576</v>
      </c>
      <c r="L345" s="268">
        <f t="shared" si="191"/>
        <v>313.32391999999999</v>
      </c>
      <c r="M345" s="268">
        <f t="shared" si="192"/>
        <v>76.951055999999994</v>
      </c>
      <c r="N345" s="268">
        <v>390.26</v>
      </c>
      <c r="O345" s="269">
        <f t="shared" si="163"/>
        <v>1.7023013273788256E-4</v>
      </c>
      <c r="P345" s="44"/>
      <c r="Q345" s="49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</row>
    <row r="346" spans="1:36" ht="27.6" x14ac:dyDescent="0.25">
      <c r="A346" s="55"/>
      <c r="B346" s="265" t="s">
        <v>1617</v>
      </c>
      <c r="C346" s="266">
        <v>92536</v>
      </c>
      <c r="D346" s="265" t="s">
        <v>40</v>
      </c>
      <c r="E346" s="265" t="s">
        <v>1549</v>
      </c>
      <c r="F346" s="267" t="s">
        <v>43</v>
      </c>
      <c r="G346" s="279">
        <v>18</v>
      </c>
      <c r="H346" s="268">
        <v>12.02</v>
      </c>
      <c r="I346" s="268">
        <f>9.65*1.2488</f>
        <v>12.05092</v>
      </c>
      <c r="J346" s="268">
        <f>2.37*1.2488</f>
        <v>2.9596559999999998</v>
      </c>
      <c r="K346" s="268">
        <f t="shared" si="190"/>
        <v>15.010576</v>
      </c>
      <c r="L346" s="268">
        <f t="shared" si="191"/>
        <v>216.91656</v>
      </c>
      <c r="M346" s="268">
        <f t="shared" si="192"/>
        <v>53.273807999999995</v>
      </c>
      <c r="N346" s="268">
        <v>270.18</v>
      </c>
      <c r="O346" s="269">
        <f t="shared" si="163"/>
        <v>1.1785163035699563E-4</v>
      </c>
      <c r="P346" s="44"/>
      <c r="Q346" s="49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</row>
    <row r="347" spans="1:36" x14ac:dyDescent="0.25">
      <c r="A347" s="55"/>
      <c r="B347" s="265" t="s">
        <v>1618</v>
      </c>
      <c r="C347" s="266">
        <v>92526</v>
      </c>
      <c r="D347" s="265" t="s">
        <v>40</v>
      </c>
      <c r="E347" s="265" t="s">
        <v>1550</v>
      </c>
      <c r="F347" s="267" t="s">
        <v>43</v>
      </c>
      <c r="G347" s="279">
        <v>212</v>
      </c>
      <c r="H347" s="268">
        <v>11.9</v>
      </c>
      <c r="I347" s="268">
        <f>9.65*1.2488</f>
        <v>12.05092</v>
      </c>
      <c r="J347" s="268">
        <f>2.25*1.2488</f>
        <v>2.8097999999999996</v>
      </c>
      <c r="K347" s="268">
        <f t="shared" si="190"/>
        <v>14.860719999999999</v>
      </c>
      <c r="L347" s="268">
        <f t="shared" si="191"/>
        <v>2554.79504</v>
      </c>
      <c r="M347" s="268">
        <f t="shared" si="192"/>
        <v>595.67759999999987</v>
      </c>
      <c r="N347" s="268">
        <v>3150.32</v>
      </c>
      <c r="O347" s="269">
        <f t="shared" si="163"/>
        <v>1.3741592573330759E-3</v>
      </c>
      <c r="P347" s="44"/>
      <c r="Q347" s="49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</row>
    <row r="348" spans="1:36" ht="27.6" x14ac:dyDescent="0.25">
      <c r="A348" s="55"/>
      <c r="B348" s="265" t="s">
        <v>1619</v>
      </c>
      <c r="C348" s="266" t="s">
        <v>706</v>
      </c>
      <c r="D348" s="265" t="s">
        <v>40</v>
      </c>
      <c r="E348" s="265" t="s">
        <v>707</v>
      </c>
      <c r="F348" s="267" t="s">
        <v>43</v>
      </c>
      <c r="G348" s="279">
        <v>34</v>
      </c>
      <c r="H348" s="268">
        <v>45.56</v>
      </c>
      <c r="I348" s="268">
        <f>26.13*1.2488</f>
        <v>32.631143999999999</v>
      </c>
      <c r="J348" s="268">
        <f>19.43*1.2488</f>
        <v>24.264183999999997</v>
      </c>
      <c r="K348" s="268">
        <f t="shared" si="190"/>
        <v>56.895327999999992</v>
      </c>
      <c r="L348" s="268">
        <f t="shared" si="191"/>
        <v>1109.4588959999999</v>
      </c>
      <c r="M348" s="268">
        <f t="shared" si="192"/>
        <v>824.98225599999989</v>
      </c>
      <c r="N348" s="268">
        <v>1934.6</v>
      </c>
      <c r="O348" s="269">
        <f t="shared" si="163"/>
        <v>8.4386617843157786E-4</v>
      </c>
      <c r="P348" s="44"/>
      <c r="Q348" s="49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</row>
    <row r="349" spans="1:36" ht="27.6" x14ac:dyDescent="0.25">
      <c r="A349" s="55"/>
      <c r="B349" s="265" t="s">
        <v>1620</v>
      </c>
      <c r="C349" s="266" t="s">
        <v>708</v>
      </c>
      <c r="D349" s="265" t="s">
        <v>40</v>
      </c>
      <c r="E349" s="265" t="s">
        <v>709</v>
      </c>
      <c r="F349" s="267" t="s">
        <v>43</v>
      </c>
      <c r="G349" s="279">
        <v>1</v>
      </c>
      <c r="H349" s="268">
        <v>59.58</v>
      </c>
      <c r="I349" s="268">
        <f>33.55*1.2488</f>
        <v>41.897239999999996</v>
      </c>
      <c r="J349" s="268">
        <f>26.03*1.2488</f>
        <v>32.506264000000002</v>
      </c>
      <c r="K349" s="268">
        <f t="shared" si="190"/>
        <v>74.403503999999998</v>
      </c>
      <c r="L349" s="268">
        <f t="shared" si="191"/>
        <v>41.897239999999996</v>
      </c>
      <c r="M349" s="268">
        <f t="shared" si="192"/>
        <v>32.506264000000002</v>
      </c>
      <c r="N349" s="268">
        <f t="shared" si="193"/>
        <v>74.403503999999998</v>
      </c>
      <c r="O349" s="269">
        <f t="shared" si="163"/>
        <v>3.2454564552051393E-5</v>
      </c>
      <c r="P349" s="44"/>
      <c r="Q349" s="49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</row>
    <row r="350" spans="1:36" ht="27.6" x14ac:dyDescent="0.25">
      <c r="A350" s="55"/>
      <c r="B350" s="265" t="s">
        <v>1621</v>
      </c>
      <c r="C350" s="266" t="s">
        <v>383</v>
      </c>
      <c r="D350" s="265" t="s">
        <v>40</v>
      </c>
      <c r="E350" s="265" t="s">
        <v>384</v>
      </c>
      <c r="F350" s="267" t="s">
        <v>43</v>
      </c>
      <c r="G350" s="279">
        <v>10</v>
      </c>
      <c r="H350" s="268">
        <v>51.04</v>
      </c>
      <c r="I350" s="268">
        <f>28.5*1.2488</f>
        <v>35.590799999999994</v>
      </c>
      <c r="J350" s="268">
        <f>22.54*1.2488</f>
        <v>28.147951999999997</v>
      </c>
      <c r="K350" s="268">
        <f t="shared" si="190"/>
        <v>63.738751999999991</v>
      </c>
      <c r="L350" s="268">
        <f t="shared" si="191"/>
        <v>355.90799999999996</v>
      </c>
      <c r="M350" s="268">
        <f t="shared" si="192"/>
        <v>281.47951999999998</v>
      </c>
      <c r="N350" s="268">
        <v>637.4</v>
      </c>
      <c r="O350" s="269">
        <f t="shared" si="163"/>
        <v>2.7803179061939822E-4</v>
      </c>
      <c r="P350" s="44"/>
      <c r="Q350" s="49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</row>
    <row r="351" spans="1:36" ht="27.6" x14ac:dyDescent="0.25">
      <c r="A351" s="55"/>
      <c r="B351" s="265" t="s">
        <v>1622</v>
      </c>
      <c r="C351" s="266" t="s">
        <v>710</v>
      </c>
      <c r="D351" s="265" t="s">
        <v>40</v>
      </c>
      <c r="E351" s="265" t="s">
        <v>711</v>
      </c>
      <c r="F351" s="267" t="s">
        <v>43</v>
      </c>
      <c r="G351" s="279">
        <v>72</v>
      </c>
      <c r="H351" s="268">
        <v>58.47</v>
      </c>
      <c r="I351" s="268">
        <f>33.55*1.2488</f>
        <v>41.897239999999996</v>
      </c>
      <c r="J351" s="268">
        <f>24.92*1.2488</f>
        <v>31.120096</v>
      </c>
      <c r="K351" s="268">
        <f t="shared" si="190"/>
        <v>73.017336</v>
      </c>
      <c r="L351" s="268">
        <f t="shared" si="191"/>
        <v>3016.6012799999999</v>
      </c>
      <c r="M351" s="268">
        <f t="shared" si="192"/>
        <v>2240.6469120000002</v>
      </c>
      <c r="N351" s="268">
        <v>5257.44</v>
      </c>
      <c r="O351" s="269">
        <f t="shared" si="163"/>
        <v>2.2932780942485861E-3</v>
      </c>
      <c r="P351" s="44"/>
      <c r="Q351" s="49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</row>
    <row r="352" spans="1:36" ht="27.6" x14ac:dyDescent="0.25">
      <c r="A352" s="55"/>
      <c r="B352" s="265" t="s">
        <v>1623</v>
      </c>
      <c r="C352" s="266" t="s">
        <v>712</v>
      </c>
      <c r="D352" s="265" t="s">
        <v>40</v>
      </c>
      <c r="E352" s="265" t="s">
        <v>713</v>
      </c>
      <c r="F352" s="267" t="s">
        <v>43</v>
      </c>
      <c r="G352" s="279">
        <v>22</v>
      </c>
      <c r="H352" s="268">
        <v>62.75</v>
      </c>
      <c r="I352" s="268">
        <f>33.55*1.2488</f>
        <v>41.897239999999996</v>
      </c>
      <c r="J352" s="268">
        <f>29.2*1.2488</f>
        <v>36.464959999999998</v>
      </c>
      <c r="K352" s="268">
        <f t="shared" si="190"/>
        <v>78.362200000000001</v>
      </c>
      <c r="L352" s="268">
        <f t="shared" si="191"/>
        <v>921.73927999999989</v>
      </c>
      <c r="M352" s="268">
        <f t="shared" si="192"/>
        <v>802.22911999999997</v>
      </c>
      <c r="N352" s="268">
        <v>1723.92</v>
      </c>
      <c r="O352" s="269">
        <f t="shared" si="163"/>
        <v>7.519682530351318E-4</v>
      </c>
      <c r="P352" s="44"/>
      <c r="Q352" s="49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</row>
    <row r="353" spans="1:36" ht="27.6" x14ac:dyDescent="0.25">
      <c r="A353" s="55"/>
      <c r="B353" s="265" t="s">
        <v>1624</v>
      </c>
      <c r="C353" s="266" t="s">
        <v>1084</v>
      </c>
      <c r="D353" s="265" t="s">
        <v>40</v>
      </c>
      <c r="E353" s="265" t="s">
        <v>1085</v>
      </c>
      <c r="F353" s="267" t="s">
        <v>43</v>
      </c>
      <c r="G353" s="279">
        <v>2</v>
      </c>
      <c r="H353" s="268">
        <v>85.3</v>
      </c>
      <c r="I353" s="268">
        <f>48.43*1.2488</f>
        <v>60.479383999999996</v>
      </c>
      <c r="J353" s="268">
        <f>36.87*1.2488</f>
        <v>46.043255999999992</v>
      </c>
      <c r="K353" s="268">
        <f t="shared" si="190"/>
        <v>106.52264</v>
      </c>
      <c r="L353" s="268">
        <f t="shared" si="191"/>
        <v>120.95876799999999</v>
      </c>
      <c r="M353" s="268">
        <f t="shared" si="192"/>
        <v>92.086511999999985</v>
      </c>
      <c r="N353" s="268">
        <v>213.04</v>
      </c>
      <c r="O353" s="269">
        <f t="shared" si="163"/>
        <v>9.292734966042766E-5</v>
      </c>
      <c r="P353" s="44"/>
      <c r="Q353" s="49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</row>
    <row r="354" spans="1:36" ht="27.6" x14ac:dyDescent="0.25">
      <c r="A354" s="55"/>
      <c r="B354" s="265" t="s">
        <v>1625</v>
      </c>
      <c r="C354" s="266" t="s">
        <v>714</v>
      </c>
      <c r="D354" s="265" t="s">
        <v>40</v>
      </c>
      <c r="E354" s="265" t="s">
        <v>715</v>
      </c>
      <c r="F354" s="267" t="s">
        <v>43</v>
      </c>
      <c r="G354" s="279">
        <v>85</v>
      </c>
      <c r="H354" s="268">
        <v>31.58</v>
      </c>
      <c r="I354" s="268">
        <f>18.61*1.2488</f>
        <v>23.240167999999997</v>
      </c>
      <c r="J354" s="268">
        <f>12.97*1.2488</f>
        <v>16.196936000000001</v>
      </c>
      <c r="K354" s="268">
        <f t="shared" si="190"/>
        <v>39.437103999999998</v>
      </c>
      <c r="L354" s="268">
        <f t="shared" si="191"/>
        <v>1975.4142799999997</v>
      </c>
      <c r="M354" s="268">
        <f t="shared" si="192"/>
        <v>1376.73956</v>
      </c>
      <c r="N354" s="268">
        <v>3352.4</v>
      </c>
      <c r="O354" s="269">
        <f t="shared" si="163"/>
        <v>1.4623058909200982E-3</v>
      </c>
      <c r="P354" s="44"/>
      <c r="Q354" s="49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</row>
    <row r="355" spans="1:36" ht="27.6" x14ac:dyDescent="0.25">
      <c r="A355" s="55"/>
      <c r="B355" s="265" t="s">
        <v>1626</v>
      </c>
      <c r="C355" s="266" t="s">
        <v>716</v>
      </c>
      <c r="D355" s="265" t="s">
        <v>40</v>
      </c>
      <c r="E355" s="265" t="s">
        <v>717</v>
      </c>
      <c r="F355" s="267" t="s">
        <v>43</v>
      </c>
      <c r="G355" s="279">
        <v>11</v>
      </c>
      <c r="H355" s="268">
        <v>33.72</v>
      </c>
      <c r="I355" s="268">
        <f>18.61*1.2488</f>
        <v>23.240167999999997</v>
      </c>
      <c r="J355" s="268">
        <f>15.11*1.2488</f>
        <v>18.869367999999998</v>
      </c>
      <c r="K355" s="268">
        <f t="shared" si="190"/>
        <v>42.109535999999991</v>
      </c>
      <c r="L355" s="268">
        <f t="shared" si="191"/>
        <v>255.64184799999998</v>
      </c>
      <c r="M355" s="268">
        <f t="shared" si="192"/>
        <v>207.56304799999998</v>
      </c>
      <c r="N355" s="268">
        <v>463.21</v>
      </c>
      <c r="O355" s="269">
        <f t="shared" si="163"/>
        <v>2.0205068360968221E-4</v>
      </c>
      <c r="P355" s="44"/>
      <c r="Q355" s="49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</row>
    <row r="356" spans="1:36" x14ac:dyDescent="0.25">
      <c r="A356" s="55"/>
      <c r="B356" s="265" t="s">
        <v>1627</v>
      </c>
      <c r="C356" s="266">
        <v>245621</v>
      </c>
      <c r="D356" s="265" t="s">
        <v>1546</v>
      </c>
      <c r="E356" s="265" t="s">
        <v>1551</v>
      </c>
      <c r="F356" s="267" t="s">
        <v>165</v>
      </c>
      <c r="G356" s="279">
        <v>2</v>
      </c>
      <c r="H356" s="268">
        <v>119.44</v>
      </c>
      <c r="I356" s="268">
        <f>42.85*1.2488</f>
        <v>53.51108</v>
      </c>
      <c r="J356" s="268">
        <f>76.59*1.2488</f>
        <v>95.645591999999994</v>
      </c>
      <c r="K356" s="268">
        <f t="shared" si="190"/>
        <v>149.15667199999999</v>
      </c>
      <c r="L356" s="268">
        <f t="shared" si="191"/>
        <v>107.02216</v>
      </c>
      <c r="M356" s="268">
        <f t="shared" si="192"/>
        <v>191.29118399999999</v>
      </c>
      <c r="N356" s="268">
        <v>298.32</v>
      </c>
      <c r="O356" s="269">
        <f t="shared" si="163"/>
        <v>1.301262061148084E-4</v>
      </c>
      <c r="P356" s="44"/>
      <c r="Q356" s="49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</row>
    <row r="357" spans="1:36" ht="27.6" x14ac:dyDescent="0.25">
      <c r="A357" s="55"/>
      <c r="B357" s="265" t="s">
        <v>1628</v>
      </c>
      <c r="C357" s="266">
        <v>101895</v>
      </c>
      <c r="D357" s="265" t="s">
        <v>40</v>
      </c>
      <c r="E357" s="265" t="s">
        <v>1552</v>
      </c>
      <c r="F357" s="267" t="s">
        <v>43</v>
      </c>
      <c r="G357" s="279">
        <v>2</v>
      </c>
      <c r="H357" s="268">
        <v>438.52</v>
      </c>
      <c r="I357" s="268">
        <f>77.54*1.2488</f>
        <v>96.831952000000001</v>
      </c>
      <c r="J357" s="268">
        <f>360.98*1.2488</f>
        <v>450.79182399999996</v>
      </c>
      <c r="K357" s="268">
        <f t="shared" si="190"/>
        <v>547.62377599999991</v>
      </c>
      <c r="L357" s="268">
        <f t="shared" si="191"/>
        <v>193.663904</v>
      </c>
      <c r="M357" s="268">
        <f t="shared" si="192"/>
        <v>901.58364799999993</v>
      </c>
      <c r="N357" s="268">
        <v>1095.24</v>
      </c>
      <c r="O357" s="269">
        <f t="shared" si="163"/>
        <v>4.7774009783180059E-4</v>
      </c>
      <c r="P357" s="44"/>
      <c r="Q357" s="49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</row>
    <row r="358" spans="1:36" ht="27.6" x14ac:dyDescent="0.25">
      <c r="A358" s="55"/>
      <c r="B358" s="265" t="s">
        <v>1629</v>
      </c>
      <c r="C358" s="266" t="s">
        <v>908</v>
      </c>
      <c r="D358" s="265" t="s">
        <v>40</v>
      </c>
      <c r="E358" s="265" t="s">
        <v>909</v>
      </c>
      <c r="F358" s="267" t="s">
        <v>43</v>
      </c>
      <c r="G358" s="279">
        <v>1</v>
      </c>
      <c r="H358" s="268">
        <v>12.06</v>
      </c>
      <c r="I358" s="268">
        <f>2.06*1.2488</f>
        <v>2.5725279999999997</v>
      </c>
      <c r="J358" s="268">
        <f>100*1.2488</f>
        <v>124.88</v>
      </c>
      <c r="K358" s="268">
        <f t="shared" si="190"/>
        <v>127.452528</v>
      </c>
      <c r="L358" s="268">
        <f t="shared" si="191"/>
        <v>2.5725279999999997</v>
      </c>
      <c r="M358" s="268">
        <f t="shared" si="192"/>
        <v>124.88</v>
      </c>
      <c r="N358" s="268">
        <f t="shared" si="193"/>
        <v>127.452528</v>
      </c>
      <c r="O358" s="269">
        <f t="shared" si="163"/>
        <v>5.5594374927532139E-5</v>
      </c>
      <c r="P358" s="44"/>
      <c r="Q358" s="49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</row>
    <row r="359" spans="1:36" ht="27.6" x14ac:dyDescent="0.25">
      <c r="A359" s="55"/>
      <c r="B359" s="265" t="s">
        <v>1630</v>
      </c>
      <c r="C359" s="266" t="s">
        <v>223</v>
      </c>
      <c r="D359" s="265" t="s">
        <v>40</v>
      </c>
      <c r="E359" s="265" t="s">
        <v>224</v>
      </c>
      <c r="F359" s="267" t="s">
        <v>43</v>
      </c>
      <c r="G359" s="279">
        <v>37</v>
      </c>
      <c r="H359" s="268">
        <v>12.99</v>
      </c>
      <c r="I359" s="268">
        <f>2.77*1.2488</f>
        <v>3.4591759999999998</v>
      </c>
      <c r="J359" s="268">
        <f>10.22*1.2488</f>
        <v>12.762736</v>
      </c>
      <c r="K359" s="268">
        <f t="shared" si="190"/>
        <v>16.221912</v>
      </c>
      <c r="L359" s="268">
        <f t="shared" si="191"/>
        <v>127.98951199999999</v>
      </c>
      <c r="M359" s="268">
        <f t="shared" si="192"/>
        <v>472.22123199999999</v>
      </c>
      <c r="N359" s="268">
        <v>600.14</v>
      </c>
      <c r="O359" s="269">
        <f t="shared" si="163"/>
        <v>2.6177910075670795E-4</v>
      </c>
      <c r="P359" s="44"/>
      <c r="Q359" s="49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</row>
    <row r="360" spans="1:36" x14ac:dyDescent="0.25">
      <c r="A360" s="55"/>
      <c r="B360" s="265" t="s">
        <v>1631</v>
      </c>
      <c r="C360" s="266" t="s">
        <v>903</v>
      </c>
      <c r="D360" s="265" t="s">
        <v>40</v>
      </c>
      <c r="E360" s="265" t="s">
        <v>904</v>
      </c>
      <c r="F360" s="267" t="s">
        <v>43</v>
      </c>
      <c r="G360" s="279">
        <v>5</v>
      </c>
      <c r="H360" s="268">
        <v>57.41</v>
      </c>
      <c r="I360" s="268">
        <f>5.56*1.2488</f>
        <v>6.9433279999999993</v>
      </c>
      <c r="J360" s="268">
        <f>51.85*1.2488</f>
        <v>64.750280000000004</v>
      </c>
      <c r="K360" s="268">
        <f t="shared" si="190"/>
        <v>71.693607999999998</v>
      </c>
      <c r="L360" s="268">
        <f t="shared" si="191"/>
        <v>34.716639999999998</v>
      </c>
      <c r="M360" s="268">
        <f t="shared" si="192"/>
        <v>323.75139999999999</v>
      </c>
      <c r="N360" s="268">
        <v>358.45</v>
      </c>
      <c r="O360" s="269">
        <f t="shared" si="163"/>
        <v>1.5635471501023422E-4</v>
      </c>
      <c r="P360" s="44"/>
      <c r="Q360" s="49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</row>
    <row r="361" spans="1:36" x14ac:dyDescent="0.25">
      <c r="A361" s="55"/>
      <c r="B361" s="265" t="s">
        <v>1632</v>
      </c>
      <c r="C361" s="266" t="s">
        <v>219</v>
      </c>
      <c r="D361" s="265" t="s">
        <v>40</v>
      </c>
      <c r="E361" s="265" t="s">
        <v>220</v>
      </c>
      <c r="F361" s="267" t="s">
        <v>43</v>
      </c>
      <c r="G361" s="279">
        <v>32</v>
      </c>
      <c r="H361" s="268">
        <v>60.86</v>
      </c>
      <c r="I361" s="268">
        <f>7.75*1.2488</f>
        <v>9.6781999999999986</v>
      </c>
      <c r="J361" s="268">
        <f>53.11*1.2488</f>
        <v>66.323768000000001</v>
      </c>
      <c r="K361" s="268">
        <f t="shared" si="190"/>
        <v>76.001968000000005</v>
      </c>
      <c r="L361" s="268">
        <f t="shared" si="191"/>
        <v>309.70239999999995</v>
      </c>
      <c r="M361" s="268">
        <f t="shared" si="192"/>
        <v>2122.360576</v>
      </c>
      <c r="N361" s="268">
        <v>2432</v>
      </c>
      <c r="O361" s="269">
        <f t="shared" si="163"/>
        <v>1.0608304279673304E-3</v>
      </c>
      <c r="P361" s="44"/>
      <c r="Q361" s="49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</row>
    <row r="362" spans="1:36" x14ac:dyDescent="0.25">
      <c r="A362" s="55"/>
      <c r="B362" s="265" t="s">
        <v>1633</v>
      </c>
      <c r="C362" s="266" t="s">
        <v>905</v>
      </c>
      <c r="D362" s="265" t="s">
        <v>40</v>
      </c>
      <c r="E362" s="265" t="s">
        <v>906</v>
      </c>
      <c r="F362" s="267" t="s">
        <v>43</v>
      </c>
      <c r="G362" s="279">
        <v>2</v>
      </c>
      <c r="H362" s="268">
        <v>65.11</v>
      </c>
      <c r="I362" s="268">
        <f>10.67*1.2488</f>
        <v>13.324695999999999</v>
      </c>
      <c r="J362" s="268">
        <f>54.44*1.2488</f>
        <v>67.984671999999989</v>
      </c>
      <c r="K362" s="268">
        <f t="shared" si="190"/>
        <v>81.309367999999992</v>
      </c>
      <c r="L362" s="268">
        <f t="shared" si="191"/>
        <v>26.649391999999999</v>
      </c>
      <c r="M362" s="268">
        <f t="shared" si="192"/>
        <v>135.96934399999998</v>
      </c>
      <c r="N362" s="268">
        <f t="shared" si="193"/>
        <v>162.61873599999998</v>
      </c>
      <c r="O362" s="269">
        <f t="shared" si="163"/>
        <v>7.0933759583218054E-5</v>
      </c>
      <c r="P362" s="44"/>
      <c r="Q362" s="49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</row>
    <row r="363" spans="1:36" x14ac:dyDescent="0.25">
      <c r="A363" s="55"/>
      <c r="B363" s="265" t="s">
        <v>1634</v>
      </c>
      <c r="C363" s="266" t="s">
        <v>221</v>
      </c>
      <c r="D363" s="265" t="s">
        <v>40</v>
      </c>
      <c r="E363" s="265" t="s">
        <v>222</v>
      </c>
      <c r="F363" s="267" t="s">
        <v>43</v>
      </c>
      <c r="G363" s="279">
        <v>2</v>
      </c>
      <c r="H363" s="268">
        <v>71.290000000000006</v>
      </c>
      <c r="I363" s="268">
        <f>15.84*1.2488</f>
        <v>19.780991999999998</v>
      </c>
      <c r="J363" s="268">
        <f>55.45*1.2488</f>
        <v>69.245959999999997</v>
      </c>
      <c r="K363" s="268">
        <f t="shared" si="190"/>
        <v>89.026951999999994</v>
      </c>
      <c r="L363" s="268">
        <f t="shared" si="191"/>
        <v>39.561983999999995</v>
      </c>
      <c r="M363" s="268">
        <f t="shared" si="192"/>
        <v>138.49191999999999</v>
      </c>
      <c r="N363" s="268">
        <v>178.06</v>
      </c>
      <c r="O363" s="269">
        <f t="shared" si="163"/>
        <v>7.7669188323956775E-5</v>
      </c>
      <c r="P363" s="44"/>
      <c r="Q363" s="49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</row>
    <row r="364" spans="1:36" x14ac:dyDescent="0.25">
      <c r="A364" s="55"/>
      <c r="B364" s="265" t="s">
        <v>1635</v>
      </c>
      <c r="C364" s="266" t="s">
        <v>1519</v>
      </c>
      <c r="D364" s="265" t="s">
        <v>200</v>
      </c>
      <c r="E364" s="265" t="s">
        <v>1520</v>
      </c>
      <c r="F364" s="267" t="s">
        <v>43</v>
      </c>
      <c r="G364" s="279">
        <v>2</v>
      </c>
      <c r="H364" s="268">
        <v>157.61000000000001</v>
      </c>
      <c r="I364" s="268">
        <f>31.6*1.2488</f>
        <v>39.46208</v>
      </c>
      <c r="J364" s="268">
        <f>126.01*1.2488</f>
        <v>157.361288</v>
      </c>
      <c r="K364" s="268">
        <f t="shared" si="190"/>
        <v>196.82336800000002</v>
      </c>
      <c r="L364" s="268">
        <f t="shared" si="191"/>
        <v>78.924160000000001</v>
      </c>
      <c r="M364" s="268">
        <f t="shared" si="192"/>
        <v>314.722576</v>
      </c>
      <c r="N364" s="268">
        <v>393.64</v>
      </c>
      <c r="O364" s="269">
        <f t="shared" si="163"/>
        <v>1.7170447765833057E-4</v>
      </c>
      <c r="P364" s="44"/>
      <c r="Q364" s="49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</row>
    <row r="365" spans="1:36" ht="27.6" x14ac:dyDescent="0.25">
      <c r="A365" s="55"/>
      <c r="B365" s="265" t="s">
        <v>1636</v>
      </c>
      <c r="C365" s="266" t="s">
        <v>1521</v>
      </c>
      <c r="D365" s="265" t="s">
        <v>200</v>
      </c>
      <c r="E365" s="265" t="s">
        <v>1522</v>
      </c>
      <c r="F365" s="267" t="s">
        <v>165</v>
      </c>
      <c r="G365" s="279">
        <v>1</v>
      </c>
      <c r="H365" s="268">
        <v>518.08000000000004</v>
      </c>
      <c r="I365" s="268">
        <f>86.76*1.2488</f>
        <v>108.345888</v>
      </c>
      <c r="J365" s="268">
        <f>431.32*1.2488</f>
        <v>538.63241599999992</v>
      </c>
      <c r="K365" s="268">
        <f t="shared" si="190"/>
        <v>646.97830399999998</v>
      </c>
      <c r="L365" s="268">
        <f t="shared" si="191"/>
        <v>108.345888</v>
      </c>
      <c r="M365" s="268">
        <f t="shared" si="192"/>
        <v>538.63241599999992</v>
      </c>
      <c r="N365" s="268">
        <f t="shared" si="193"/>
        <v>646.97830399999998</v>
      </c>
      <c r="O365" s="269">
        <f t="shared" si="163"/>
        <v>2.8220981542676713E-4</v>
      </c>
      <c r="P365" s="44"/>
      <c r="Q365" s="49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</row>
    <row r="366" spans="1:36" ht="27.6" x14ac:dyDescent="0.25">
      <c r="A366" s="55"/>
      <c r="B366" s="265" t="s">
        <v>1637</v>
      </c>
      <c r="C366" s="266" t="s">
        <v>1523</v>
      </c>
      <c r="D366" s="265" t="s">
        <v>200</v>
      </c>
      <c r="E366" s="265" t="s">
        <v>1524</v>
      </c>
      <c r="F366" s="267" t="s">
        <v>43</v>
      </c>
      <c r="G366" s="279">
        <v>14</v>
      </c>
      <c r="H366" s="268">
        <v>2892.44</v>
      </c>
      <c r="I366" s="268">
        <f>33.13*1.2488</f>
        <v>41.372743999999997</v>
      </c>
      <c r="J366" s="268">
        <f>2859.31*1.2488</f>
        <v>3570.7063279999998</v>
      </c>
      <c r="K366" s="268">
        <f t="shared" si="190"/>
        <v>3612.0790719999995</v>
      </c>
      <c r="L366" s="268">
        <f t="shared" si="191"/>
        <v>579.21841599999993</v>
      </c>
      <c r="M366" s="268">
        <f t="shared" si="192"/>
        <v>49989.888591999996</v>
      </c>
      <c r="N366" s="268">
        <v>50569.120000000003</v>
      </c>
      <c r="O366" s="269">
        <f t="shared" si="163"/>
        <v>2.2058084379741487E-2</v>
      </c>
      <c r="P366" s="44"/>
      <c r="Q366" s="49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</row>
    <row r="367" spans="1:36" ht="27.6" x14ac:dyDescent="0.25">
      <c r="A367" s="55"/>
      <c r="B367" s="265" t="s">
        <v>1638</v>
      </c>
      <c r="C367" s="266" t="s">
        <v>1087</v>
      </c>
      <c r="D367" s="265" t="s">
        <v>200</v>
      </c>
      <c r="E367" s="265" t="s">
        <v>1088</v>
      </c>
      <c r="F367" s="267" t="s">
        <v>165</v>
      </c>
      <c r="G367" s="279">
        <v>4</v>
      </c>
      <c r="H367" s="268">
        <v>71.63</v>
      </c>
      <c r="I367" s="268">
        <f>33.13*1.2488</f>
        <v>41.372743999999997</v>
      </c>
      <c r="J367" s="268">
        <f>668.5*1.2488</f>
        <v>834.82279999999992</v>
      </c>
      <c r="K367" s="268">
        <f t="shared" si="190"/>
        <v>876.19554399999993</v>
      </c>
      <c r="L367" s="268">
        <f t="shared" si="191"/>
        <v>165.49097599999999</v>
      </c>
      <c r="M367" s="268">
        <f t="shared" si="192"/>
        <v>3339.2911999999997</v>
      </c>
      <c r="N367" s="268">
        <v>3504.8</v>
      </c>
      <c r="O367" s="269">
        <f t="shared" si="163"/>
        <v>1.5287822713568667E-3</v>
      </c>
      <c r="P367" s="44"/>
      <c r="Q367" s="49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</row>
    <row r="368" spans="1:36" x14ac:dyDescent="0.25">
      <c r="A368" s="55"/>
      <c r="B368" s="265" t="s">
        <v>1639</v>
      </c>
      <c r="C368" s="266" t="s">
        <v>1734</v>
      </c>
      <c r="D368" s="265" t="s">
        <v>1546</v>
      </c>
      <c r="E368" s="265" t="s">
        <v>1553</v>
      </c>
      <c r="F368" s="267" t="s">
        <v>43</v>
      </c>
      <c r="G368" s="279">
        <v>1</v>
      </c>
      <c r="H368" s="268">
        <v>532.20000000000005</v>
      </c>
      <c r="I368" s="268">
        <f>42.85*1.2488</f>
        <v>53.51108</v>
      </c>
      <c r="J368" s="268">
        <f>489.35*1.2488</f>
        <v>611.10028</v>
      </c>
      <c r="K368" s="268">
        <f t="shared" si="190"/>
        <v>664.61135999999999</v>
      </c>
      <c r="L368" s="268">
        <f t="shared" si="191"/>
        <v>53.51108</v>
      </c>
      <c r="M368" s="268">
        <f t="shared" si="192"/>
        <v>611.10028</v>
      </c>
      <c r="N368" s="268">
        <f t="shared" si="193"/>
        <v>664.61135999999999</v>
      </c>
      <c r="O368" s="269">
        <f t="shared" si="163"/>
        <v>2.899012966532687E-4</v>
      </c>
      <c r="P368" s="44"/>
      <c r="Q368" s="49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</row>
    <row r="369" spans="1:36" x14ac:dyDescent="0.25">
      <c r="A369" s="55"/>
      <c r="B369" s="265" t="s">
        <v>1640</v>
      </c>
      <c r="C369" s="266" t="s">
        <v>1733</v>
      </c>
      <c r="D369" s="265" t="s">
        <v>1546</v>
      </c>
      <c r="E369" s="265" t="s">
        <v>1554</v>
      </c>
      <c r="F369" s="267" t="s">
        <v>165</v>
      </c>
      <c r="G369" s="279">
        <v>2</v>
      </c>
      <c r="H369" s="268">
        <v>347.23</v>
      </c>
      <c r="I369" s="268">
        <f>42.85*1.2488</f>
        <v>53.51108</v>
      </c>
      <c r="J369" s="268">
        <f>304.38*1.2488</f>
        <v>380.10974399999998</v>
      </c>
      <c r="K369" s="268">
        <f t="shared" si="190"/>
        <v>433.62082399999997</v>
      </c>
      <c r="L369" s="268">
        <f t="shared" si="191"/>
        <v>107.02216</v>
      </c>
      <c r="M369" s="268">
        <f t="shared" si="192"/>
        <v>760.21948799999996</v>
      </c>
      <c r="N369" s="268">
        <f t="shared" si="193"/>
        <v>867.24164799999994</v>
      </c>
      <c r="O369" s="269">
        <f t="shared" si="163"/>
        <v>3.7828796406206124E-4</v>
      </c>
      <c r="P369" s="44"/>
      <c r="Q369" s="49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</row>
    <row r="370" spans="1:36" x14ac:dyDescent="0.25">
      <c r="A370" s="55"/>
      <c r="B370" s="265" t="s">
        <v>1641</v>
      </c>
      <c r="C370" s="266" t="s">
        <v>1555</v>
      </c>
      <c r="D370" s="265" t="s">
        <v>1546</v>
      </c>
      <c r="E370" s="265" t="s">
        <v>1556</v>
      </c>
      <c r="F370" s="267" t="s">
        <v>54</v>
      </c>
      <c r="G370" s="279">
        <v>29.4</v>
      </c>
      <c r="H370" s="268">
        <v>88.38</v>
      </c>
      <c r="I370" s="268">
        <f>26.34*1.2488</f>
        <v>32.893391999999999</v>
      </c>
      <c r="J370" s="268">
        <f>62.04*1.2488</f>
        <v>77.475551999999993</v>
      </c>
      <c r="K370" s="268">
        <f t="shared" ref="K370:K371" si="194">I370+J370</f>
        <v>110.368944</v>
      </c>
      <c r="L370" s="268">
        <f t="shared" ref="L370:L371" si="195">G370*I370</f>
        <v>967.06572479999988</v>
      </c>
      <c r="M370" s="268">
        <f t="shared" ref="M370:M371" si="196">G370*J370</f>
        <v>2277.7812287999996</v>
      </c>
      <c r="N370" s="268">
        <v>3244.88</v>
      </c>
      <c r="O370" s="269">
        <f t="shared" si="163"/>
        <v>1.4154060193678584E-3</v>
      </c>
      <c r="P370" s="44"/>
      <c r="Q370" s="49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</row>
    <row r="371" spans="1:36" x14ac:dyDescent="0.25">
      <c r="A371" s="55"/>
      <c r="B371" s="265" t="s">
        <v>1642</v>
      </c>
      <c r="C371" s="266" t="s">
        <v>1557</v>
      </c>
      <c r="D371" s="265" t="s">
        <v>1546</v>
      </c>
      <c r="E371" s="265" t="s">
        <v>1558</v>
      </c>
      <c r="F371" s="267" t="s">
        <v>43</v>
      </c>
      <c r="G371" s="279">
        <v>22</v>
      </c>
      <c r="H371" s="268">
        <v>24.38</v>
      </c>
      <c r="I371" s="268">
        <f>13.17*1.2488</f>
        <v>16.446695999999999</v>
      </c>
      <c r="J371" s="268">
        <f>11.21*1.2488</f>
        <v>13.999048</v>
      </c>
      <c r="K371" s="268">
        <f t="shared" si="194"/>
        <v>30.445743999999998</v>
      </c>
      <c r="L371" s="268">
        <f t="shared" si="195"/>
        <v>361.82731200000001</v>
      </c>
      <c r="M371" s="268">
        <f t="shared" si="196"/>
        <v>307.97905600000001</v>
      </c>
      <c r="N371" s="268">
        <v>669.9</v>
      </c>
      <c r="O371" s="269">
        <f t="shared" si="163"/>
        <v>2.9220818408524452E-4</v>
      </c>
      <c r="P371" s="44"/>
      <c r="Q371" s="49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</row>
    <row r="372" spans="1:36" ht="27.6" x14ac:dyDescent="0.25">
      <c r="A372" s="55"/>
      <c r="B372" s="265" t="s">
        <v>1643</v>
      </c>
      <c r="C372" s="266" t="s">
        <v>720</v>
      </c>
      <c r="D372" s="265" t="s">
        <v>40</v>
      </c>
      <c r="E372" s="265" t="s">
        <v>721</v>
      </c>
      <c r="F372" s="267" t="s">
        <v>54</v>
      </c>
      <c r="G372" s="279">
        <v>113.6</v>
      </c>
      <c r="H372" s="268">
        <v>27.62</v>
      </c>
      <c r="I372" s="268">
        <f>13.5*1.2488</f>
        <v>16.858799999999999</v>
      </c>
      <c r="J372" s="268">
        <f>14.12*1.2488</f>
        <v>17.633055999999996</v>
      </c>
      <c r="K372" s="268">
        <f t="shared" ref="K372:K378" si="197">I372+J372</f>
        <v>34.491855999999999</v>
      </c>
      <c r="L372" s="268">
        <f t="shared" ref="L372:L384" si="198">G372*I372</f>
        <v>1915.1596799999998</v>
      </c>
      <c r="M372" s="268">
        <f t="shared" ref="M372:M384" si="199">G372*J372</f>
        <v>2003.1151615999995</v>
      </c>
      <c r="N372" s="268">
        <v>3918.06</v>
      </c>
      <c r="O372" s="269">
        <f t="shared" si="163"/>
        <v>1.7090449287013481E-3</v>
      </c>
      <c r="P372" s="44"/>
      <c r="Q372" s="49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</row>
    <row r="373" spans="1:36" ht="27.6" x14ac:dyDescent="0.25">
      <c r="A373" s="55"/>
      <c r="B373" s="265" t="s">
        <v>1644</v>
      </c>
      <c r="C373" s="266" t="s">
        <v>722</v>
      </c>
      <c r="D373" s="265" t="s">
        <v>40</v>
      </c>
      <c r="E373" s="265" t="s">
        <v>723</v>
      </c>
      <c r="F373" s="267" t="s">
        <v>54</v>
      </c>
      <c r="G373" s="279">
        <v>1099.5999999999999</v>
      </c>
      <c r="H373" s="268">
        <v>23.07</v>
      </c>
      <c r="I373" s="268">
        <f>12.7*1.2488</f>
        <v>15.859759999999998</v>
      </c>
      <c r="J373" s="268">
        <f>10.37*1.2488</f>
        <v>12.950055999999998</v>
      </c>
      <c r="K373" s="268">
        <f t="shared" si="197"/>
        <v>28.809815999999998</v>
      </c>
      <c r="L373" s="268">
        <f t="shared" si="198"/>
        <v>17439.392095999996</v>
      </c>
      <c r="M373" s="268">
        <f t="shared" si="199"/>
        <v>14239.881577599997</v>
      </c>
      <c r="N373" s="268">
        <v>31679.48</v>
      </c>
      <c r="O373" s="269">
        <f t="shared" si="163"/>
        <v>1.381848533148951E-2</v>
      </c>
      <c r="P373" s="44"/>
      <c r="Q373" s="49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</row>
    <row r="374" spans="1:36" ht="27.6" x14ac:dyDescent="0.25">
      <c r="A374" s="55"/>
      <c r="B374" s="265" t="s">
        <v>1645</v>
      </c>
      <c r="C374" s="266" t="s">
        <v>724</v>
      </c>
      <c r="D374" s="265" t="s">
        <v>40</v>
      </c>
      <c r="E374" s="265" t="s">
        <v>725</v>
      </c>
      <c r="F374" s="267" t="s">
        <v>54</v>
      </c>
      <c r="G374" s="279">
        <v>42.9</v>
      </c>
      <c r="H374" s="268">
        <v>19.22</v>
      </c>
      <c r="I374" s="268">
        <f>6.58*1.2488</f>
        <v>8.2171039999999991</v>
      </c>
      <c r="J374" s="268">
        <f>12.64*1.2488</f>
        <v>15.784832</v>
      </c>
      <c r="K374" s="268">
        <f t="shared" si="197"/>
        <v>24.001936000000001</v>
      </c>
      <c r="L374" s="268">
        <f t="shared" si="198"/>
        <v>352.51376159999995</v>
      </c>
      <c r="M374" s="268">
        <f t="shared" si="199"/>
        <v>677.16929279999999</v>
      </c>
      <c r="N374" s="268">
        <v>1029.5999999999999</v>
      </c>
      <c r="O374" s="269">
        <f t="shared" si="163"/>
        <v>4.4910814499801125E-4</v>
      </c>
      <c r="P374" s="44"/>
      <c r="Q374" s="49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</row>
    <row r="375" spans="1:36" ht="27.6" x14ac:dyDescent="0.25">
      <c r="A375" s="55"/>
      <c r="B375" s="265" t="s">
        <v>1646</v>
      </c>
      <c r="C375" s="266" t="s">
        <v>726</v>
      </c>
      <c r="D375" s="265" t="s">
        <v>40</v>
      </c>
      <c r="E375" s="265" t="s">
        <v>727</v>
      </c>
      <c r="F375" s="267" t="s">
        <v>54</v>
      </c>
      <c r="G375" s="279">
        <v>133.19999999999999</v>
      </c>
      <c r="H375" s="268">
        <v>21.28</v>
      </c>
      <c r="I375" s="268">
        <f>9.51*1.2488</f>
        <v>11.876087999999999</v>
      </c>
      <c r="J375" s="268">
        <f>11.77*1.2488</f>
        <v>14.698375999999998</v>
      </c>
      <c r="K375" s="268">
        <f t="shared" si="197"/>
        <v>26.574463999999999</v>
      </c>
      <c r="L375" s="268">
        <f t="shared" si="198"/>
        <v>1581.8949215999999</v>
      </c>
      <c r="M375" s="268">
        <f t="shared" si="199"/>
        <v>1957.8236831999996</v>
      </c>
      <c r="N375" s="268">
        <v>3539.12</v>
      </c>
      <c r="O375" s="269">
        <f t="shared" si="163"/>
        <v>1.5437525428568003E-3</v>
      </c>
      <c r="P375" s="44"/>
      <c r="Q375" s="49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</row>
    <row r="376" spans="1:36" ht="27.6" x14ac:dyDescent="0.25">
      <c r="A376" s="55"/>
      <c r="B376" s="265" t="s">
        <v>1647</v>
      </c>
      <c r="C376" s="266" t="s">
        <v>728</v>
      </c>
      <c r="D376" s="265" t="s">
        <v>40</v>
      </c>
      <c r="E376" s="265" t="s">
        <v>729</v>
      </c>
      <c r="F376" s="267" t="s">
        <v>54</v>
      </c>
      <c r="G376" s="279">
        <v>41.4</v>
      </c>
      <c r="H376" s="268">
        <v>27.33</v>
      </c>
      <c r="I376" s="268">
        <f>7.55*1.2488</f>
        <v>9.4284399999999984</v>
      </c>
      <c r="J376" s="268">
        <f>19.78*1.2488</f>
        <v>24.701263999999998</v>
      </c>
      <c r="K376" s="268">
        <f t="shared" si="197"/>
        <v>34.129703999999997</v>
      </c>
      <c r="L376" s="268">
        <f t="shared" si="198"/>
        <v>390.33741599999991</v>
      </c>
      <c r="M376" s="268">
        <f t="shared" si="199"/>
        <v>1022.6323295999999</v>
      </c>
      <c r="N376" s="268">
        <v>1412.98</v>
      </c>
      <c r="O376" s="269">
        <f t="shared" ref="O376:O439" si="200">N376/$N$472</f>
        <v>6.1633724428835474E-4</v>
      </c>
      <c r="P376" s="44"/>
      <c r="Q376" s="49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</row>
    <row r="377" spans="1:36" x14ac:dyDescent="0.25">
      <c r="A377" s="55"/>
      <c r="B377" s="265" t="s">
        <v>1648</v>
      </c>
      <c r="C377" s="266" t="s">
        <v>1094</v>
      </c>
      <c r="D377" s="265" t="s">
        <v>200</v>
      </c>
      <c r="E377" s="265" t="s">
        <v>1095</v>
      </c>
      <c r="F377" s="267" t="s">
        <v>240</v>
      </c>
      <c r="G377" s="279">
        <v>1</v>
      </c>
      <c r="H377" s="268">
        <v>77.28</v>
      </c>
      <c r="I377" s="268">
        <f>42.13*1.2488</f>
        <v>52.611944000000001</v>
      </c>
      <c r="J377" s="268">
        <f>35.15*1.2488</f>
        <v>43.895319999999998</v>
      </c>
      <c r="K377" s="268">
        <f t="shared" si="197"/>
        <v>96.507263999999992</v>
      </c>
      <c r="L377" s="268">
        <f t="shared" si="198"/>
        <v>52.611944000000001</v>
      </c>
      <c r="M377" s="268">
        <f t="shared" si="199"/>
        <v>43.895319999999998</v>
      </c>
      <c r="N377" s="268">
        <f t="shared" ref="N377:N383" si="201">L377+M377</f>
        <v>96.507263999999992</v>
      </c>
      <c r="O377" s="269">
        <f t="shared" si="200"/>
        <v>4.2096152208501701E-5</v>
      </c>
      <c r="P377" s="44"/>
      <c r="Q377" s="49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</row>
    <row r="378" spans="1:36" ht="27.6" x14ac:dyDescent="0.25">
      <c r="A378" s="55"/>
      <c r="B378" s="265" t="s">
        <v>1649</v>
      </c>
      <c r="C378" s="266" t="s">
        <v>734</v>
      </c>
      <c r="D378" s="265" t="s">
        <v>200</v>
      </c>
      <c r="E378" s="265" t="s">
        <v>794</v>
      </c>
      <c r="F378" s="267" t="s">
        <v>165</v>
      </c>
      <c r="G378" s="279">
        <v>29</v>
      </c>
      <c r="H378" s="268">
        <v>239.11</v>
      </c>
      <c r="I378" s="268">
        <f>16.79*1.2488</f>
        <v>20.967351999999998</v>
      </c>
      <c r="J378" s="268">
        <f>222.32*1.2488</f>
        <v>277.63321599999995</v>
      </c>
      <c r="K378" s="268">
        <f t="shared" si="197"/>
        <v>298.60056799999995</v>
      </c>
      <c r="L378" s="268">
        <f t="shared" si="198"/>
        <v>608.05320799999993</v>
      </c>
      <c r="M378" s="268">
        <f t="shared" si="199"/>
        <v>8051.3632639999987</v>
      </c>
      <c r="N378" s="268">
        <v>8659.4</v>
      </c>
      <c r="O378" s="269">
        <f t="shared" si="200"/>
        <v>3.7772018947122947E-3</v>
      </c>
      <c r="P378" s="44"/>
      <c r="Q378" s="49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</row>
    <row r="379" spans="1:36" ht="27.6" x14ac:dyDescent="0.25">
      <c r="A379" s="55"/>
      <c r="B379" s="265" t="s">
        <v>1650</v>
      </c>
      <c r="C379" s="266" t="s">
        <v>1517</v>
      </c>
      <c r="D379" s="265" t="s">
        <v>200</v>
      </c>
      <c r="E379" s="265" t="s">
        <v>1518</v>
      </c>
      <c r="F379" s="267" t="s">
        <v>165</v>
      </c>
      <c r="G379" s="279">
        <v>92</v>
      </c>
      <c r="H379" s="268">
        <v>10.43</v>
      </c>
      <c r="I379" s="268">
        <f>4.29*1.2488</f>
        <v>5.3573519999999997</v>
      </c>
      <c r="J379" s="268">
        <f>6.14*1.2488</f>
        <v>7.6676319999999993</v>
      </c>
      <c r="K379" s="282">
        <f>I379+J379</f>
        <v>13.024984</v>
      </c>
      <c r="L379" s="268">
        <f t="shared" si="198"/>
        <v>492.87638399999997</v>
      </c>
      <c r="M379" s="268">
        <f t="shared" si="199"/>
        <v>705.42214399999989</v>
      </c>
      <c r="N379" s="268">
        <v>1197.8399999999999</v>
      </c>
      <c r="O379" s="269">
        <f t="shared" si="200"/>
        <v>5.2249388151167232E-4</v>
      </c>
      <c r="P379" s="44"/>
      <c r="Q379" s="49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</row>
    <row r="380" spans="1:36" x14ac:dyDescent="0.25">
      <c r="A380" s="55"/>
      <c r="B380" s="265" t="s">
        <v>1651</v>
      </c>
      <c r="C380" s="266" t="s">
        <v>1096</v>
      </c>
      <c r="D380" s="265" t="s">
        <v>40</v>
      </c>
      <c r="E380" s="265" t="s">
        <v>1097</v>
      </c>
      <c r="F380" s="267" t="s">
        <v>43</v>
      </c>
      <c r="G380" s="279">
        <v>2</v>
      </c>
      <c r="H380" s="268">
        <v>48.98</v>
      </c>
      <c r="I380" s="268">
        <f>13.98*1.2488</f>
        <v>17.458223999999998</v>
      </c>
      <c r="J380" s="268">
        <f>35*1.2488</f>
        <v>43.707999999999998</v>
      </c>
      <c r="K380" s="268">
        <f t="shared" ref="K380:K384" si="202">I380+J380</f>
        <v>61.166224</v>
      </c>
      <c r="L380" s="268">
        <f t="shared" si="198"/>
        <v>34.916447999999995</v>
      </c>
      <c r="M380" s="268">
        <f t="shared" si="199"/>
        <v>87.415999999999997</v>
      </c>
      <c r="N380" s="268">
        <v>122.34</v>
      </c>
      <c r="O380" s="269">
        <f t="shared" si="200"/>
        <v>5.3364306972665792E-5</v>
      </c>
      <c r="P380" s="44"/>
      <c r="Q380" s="49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</row>
    <row r="381" spans="1:36" x14ac:dyDescent="0.25">
      <c r="A381" s="55"/>
      <c r="B381" s="265" t="s">
        <v>1652</v>
      </c>
      <c r="C381" s="266" t="s">
        <v>888</v>
      </c>
      <c r="D381" s="265" t="s">
        <v>40</v>
      </c>
      <c r="E381" s="265" t="s">
        <v>889</v>
      </c>
      <c r="F381" s="267" t="s">
        <v>43</v>
      </c>
      <c r="G381" s="279">
        <v>1</v>
      </c>
      <c r="H381" s="268">
        <v>3341</v>
      </c>
      <c r="I381" s="268">
        <f>214.5*1.2488</f>
        <v>267.86759999999998</v>
      </c>
      <c r="J381" s="268">
        <f>3126.5*1.2488</f>
        <v>3904.3731999999995</v>
      </c>
      <c r="K381" s="268">
        <f t="shared" si="202"/>
        <v>4172.2407999999996</v>
      </c>
      <c r="L381" s="268">
        <f t="shared" si="198"/>
        <v>267.86759999999998</v>
      </c>
      <c r="M381" s="268">
        <f t="shared" si="199"/>
        <v>3904.3731999999995</v>
      </c>
      <c r="N381" s="268">
        <f t="shared" si="201"/>
        <v>4172.2407999999996</v>
      </c>
      <c r="O381" s="269">
        <f t="shared" si="200"/>
        <v>1.8199177604633046E-3</v>
      </c>
      <c r="P381" s="44"/>
      <c r="Q381" s="49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</row>
    <row r="382" spans="1:36" ht="27.6" x14ac:dyDescent="0.25">
      <c r="A382" s="55"/>
      <c r="B382" s="265" t="s">
        <v>1653</v>
      </c>
      <c r="C382" s="266">
        <v>101527</v>
      </c>
      <c r="D382" s="265" t="s">
        <v>40</v>
      </c>
      <c r="E382" s="265" t="s">
        <v>1559</v>
      </c>
      <c r="F382" s="267" t="s">
        <v>43</v>
      </c>
      <c r="G382" s="279">
        <v>1</v>
      </c>
      <c r="H382" s="268">
        <v>153.51</v>
      </c>
      <c r="I382" s="268">
        <f>17.56*1.2488</f>
        <v>21.928927999999996</v>
      </c>
      <c r="J382" s="268">
        <f>135.95*1.2488</f>
        <v>169.77435999999997</v>
      </c>
      <c r="K382" s="268">
        <f t="shared" si="202"/>
        <v>191.70328799999996</v>
      </c>
      <c r="L382" s="268">
        <f t="shared" si="198"/>
        <v>21.928927999999996</v>
      </c>
      <c r="M382" s="268">
        <f t="shared" si="199"/>
        <v>169.77435999999997</v>
      </c>
      <c r="N382" s="268">
        <f t="shared" si="201"/>
        <v>191.70328799999996</v>
      </c>
      <c r="O382" s="269">
        <f t="shared" si="200"/>
        <v>8.3620345827213968E-5</v>
      </c>
      <c r="P382" s="44"/>
      <c r="Q382" s="49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</row>
    <row r="383" spans="1:36" ht="27.6" x14ac:dyDescent="0.25">
      <c r="A383" s="55"/>
      <c r="B383" s="265" t="s">
        <v>1654</v>
      </c>
      <c r="C383" s="266">
        <v>101521</v>
      </c>
      <c r="D383" s="265" t="s">
        <v>40</v>
      </c>
      <c r="E383" s="265" t="s">
        <v>1560</v>
      </c>
      <c r="F383" s="267" t="s">
        <v>43</v>
      </c>
      <c r="G383" s="279">
        <v>1</v>
      </c>
      <c r="H383" s="268">
        <v>563.46</v>
      </c>
      <c r="I383" s="268">
        <f>17.56*1.2488</f>
        <v>21.928927999999996</v>
      </c>
      <c r="J383" s="268">
        <f>545.9*1.2488</f>
        <v>681.71991999999989</v>
      </c>
      <c r="K383" s="268">
        <f t="shared" si="202"/>
        <v>703.64884799999993</v>
      </c>
      <c r="L383" s="268">
        <f t="shared" si="198"/>
        <v>21.928927999999996</v>
      </c>
      <c r="M383" s="268">
        <f t="shared" si="199"/>
        <v>681.71991999999989</v>
      </c>
      <c r="N383" s="268">
        <f t="shared" si="201"/>
        <v>703.64884799999993</v>
      </c>
      <c r="O383" s="269">
        <f t="shared" si="200"/>
        <v>3.0692932095499961E-4</v>
      </c>
      <c r="P383" s="44"/>
      <c r="Q383" s="49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</row>
    <row r="384" spans="1:36" ht="27.6" x14ac:dyDescent="0.25">
      <c r="A384" s="55"/>
      <c r="B384" s="265" t="s">
        <v>1655</v>
      </c>
      <c r="C384" s="266">
        <v>112412</v>
      </c>
      <c r="D384" s="265" t="s">
        <v>40</v>
      </c>
      <c r="E384" s="265" t="s">
        <v>1561</v>
      </c>
      <c r="F384" s="267" t="s">
        <v>43</v>
      </c>
      <c r="G384" s="279">
        <v>2</v>
      </c>
      <c r="H384" s="268">
        <v>928.47</v>
      </c>
      <c r="I384" s="268">
        <f>17.56*1.2488</f>
        <v>21.928927999999996</v>
      </c>
      <c r="J384" s="268">
        <f>910.91*1.2488</f>
        <v>1137.544408</v>
      </c>
      <c r="K384" s="268">
        <f t="shared" si="202"/>
        <v>1159.473336</v>
      </c>
      <c r="L384" s="268">
        <f t="shared" si="198"/>
        <v>43.857855999999991</v>
      </c>
      <c r="M384" s="268">
        <f t="shared" si="199"/>
        <v>2275.088816</v>
      </c>
      <c r="N384" s="268">
        <v>2318.94</v>
      </c>
      <c r="O384" s="269">
        <f t="shared" si="200"/>
        <v>1.0115140265750664E-3</v>
      </c>
      <c r="P384" s="44"/>
      <c r="Q384" s="49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</row>
    <row r="385" spans="1:36" ht="13.8" x14ac:dyDescent="0.25">
      <c r="A385" s="55"/>
      <c r="B385" s="261" t="s">
        <v>815</v>
      </c>
      <c r="C385" s="261"/>
      <c r="D385" s="261"/>
      <c r="E385" s="261" t="s">
        <v>272</v>
      </c>
      <c r="F385" s="261"/>
      <c r="G385" s="278"/>
      <c r="H385" s="262"/>
      <c r="I385" s="261"/>
      <c r="J385" s="261"/>
      <c r="K385" s="261"/>
      <c r="L385" s="261"/>
      <c r="M385" s="261"/>
      <c r="N385" s="263">
        <f>SUM(N386:N390)</f>
        <v>25173.010720000002</v>
      </c>
      <c r="O385" s="264">
        <f>N385/$N$472</f>
        <v>1.0980384759590378E-2</v>
      </c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</row>
    <row r="386" spans="1:36" ht="27.6" x14ac:dyDescent="0.25">
      <c r="A386" s="55"/>
      <c r="B386" s="265" t="s">
        <v>867</v>
      </c>
      <c r="C386" s="266" t="s">
        <v>275</v>
      </c>
      <c r="D386" s="265" t="s">
        <v>40</v>
      </c>
      <c r="E386" s="265" t="s">
        <v>276</v>
      </c>
      <c r="F386" s="267" t="s">
        <v>43</v>
      </c>
      <c r="G386" s="279">
        <v>18</v>
      </c>
      <c r="H386" s="268">
        <v>115.57</v>
      </c>
      <c r="I386" s="268">
        <f>24.34*1.2488</f>
        <v>30.395791999999997</v>
      </c>
      <c r="J386" s="268">
        <f>91.23*1.2488</f>
        <v>113.92802399999999</v>
      </c>
      <c r="K386" s="268">
        <f t="shared" ref="K386:K390" si="203">I386+J386</f>
        <v>144.32381599999999</v>
      </c>
      <c r="L386" s="268">
        <f t="shared" ref="L386:L390" si="204">G386*I386</f>
        <v>547.12425599999995</v>
      </c>
      <c r="M386" s="268">
        <f t="shared" ref="M386:M390" si="205">G386*J386</f>
        <v>2050.704432</v>
      </c>
      <c r="N386" s="268">
        <v>2597.7600000000002</v>
      </c>
      <c r="O386" s="269">
        <f t="shared" si="200"/>
        <v>1.133134396610367E-3</v>
      </c>
      <c r="P386" s="44"/>
      <c r="Q386" s="49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</row>
    <row r="387" spans="1:36" ht="27.6" x14ac:dyDescent="0.25">
      <c r="A387" s="55"/>
      <c r="B387" s="265" t="s">
        <v>868</v>
      </c>
      <c r="C387" s="266" t="s">
        <v>733</v>
      </c>
      <c r="D387" s="265" t="s">
        <v>200</v>
      </c>
      <c r="E387" s="265" t="s">
        <v>793</v>
      </c>
      <c r="F387" s="267" t="s">
        <v>165</v>
      </c>
      <c r="G387" s="279">
        <v>25</v>
      </c>
      <c r="H387" s="268">
        <v>325.17</v>
      </c>
      <c r="I387" s="268">
        <f>21.07*1.2488</f>
        <v>26.312215999999999</v>
      </c>
      <c r="J387" s="268">
        <f>304.18*1.2488</f>
        <v>379.859984</v>
      </c>
      <c r="K387" s="268">
        <f t="shared" si="203"/>
        <v>406.17219999999998</v>
      </c>
      <c r="L387" s="268">
        <f t="shared" si="204"/>
        <v>657.80539999999996</v>
      </c>
      <c r="M387" s="268">
        <f t="shared" si="205"/>
        <v>9496.4995999999992</v>
      </c>
      <c r="N387" s="268">
        <v>10154.25</v>
      </c>
      <c r="O387" s="269">
        <f t="shared" si="200"/>
        <v>4.429250564632922E-3</v>
      </c>
      <c r="P387" s="44"/>
      <c r="Q387" s="49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</row>
    <row r="388" spans="1:36" ht="27.6" x14ac:dyDescent="0.25">
      <c r="A388" s="55"/>
      <c r="B388" s="265" t="s">
        <v>869</v>
      </c>
      <c r="C388" s="266" t="s">
        <v>1511</v>
      </c>
      <c r="D388" s="265" t="s">
        <v>200</v>
      </c>
      <c r="E388" s="265" t="s">
        <v>1512</v>
      </c>
      <c r="F388" s="267" t="s">
        <v>43</v>
      </c>
      <c r="G388" s="279">
        <v>10</v>
      </c>
      <c r="H388" s="268">
        <v>106.16</v>
      </c>
      <c r="I388" s="268">
        <f>21.07*1.2488</f>
        <v>26.312215999999999</v>
      </c>
      <c r="J388" s="268">
        <f>85.12*1.2488</f>
        <v>106.297856</v>
      </c>
      <c r="K388" s="268">
        <f t="shared" si="203"/>
        <v>132.610072</v>
      </c>
      <c r="L388" s="268">
        <f t="shared" si="204"/>
        <v>263.12216000000001</v>
      </c>
      <c r="M388" s="268">
        <f t="shared" si="205"/>
        <v>1062.97856</v>
      </c>
      <c r="N388" s="268">
        <f t="shared" ref="N388" si="206">L388+M388</f>
        <v>1326.1007199999999</v>
      </c>
      <c r="O388" s="269">
        <f t="shared" si="200"/>
        <v>5.7844078714037214E-4</v>
      </c>
      <c r="P388" s="44"/>
      <c r="Q388" s="49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</row>
    <row r="389" spans="1:36" ht="27.6" x14ac:dyDescent="0.25">
      <c r="A389" s="55"/>
      <c r="B389" s="265" t="s">
        <v>1055</v>
      </c>
      <c r="C389" s="266" t="s">
        <v>1513</v>
      </c>
      <c r="D389" s="265" t="s">
        <v>200</v>
      </c>
      <c r="E389" s="265" t="s">
        <v>1514</v>
      </c>
      <c r="F389" s="267" t="s">
        <v>165</v>
      </c>
      <c r="G389" s="279">
        <v>50</v>
      </c>
      <c r="H389" s="268">
        <v>163.6</v>
      </c>
      <c r="I389" s="268">
        <f>21.07*1.2488</f>
        <v>26.312215999999999</v>
      </c>
      <c r="J389" s="268">
        <f>142.53*1.2488</f>
        <v>177.99146399999998</v>
      </c>
      <c r="K389" s="268">
        <f t="shared" si="203"/>
        <v>204.30367999999999</v>
      </c>
      <c r="L389" s="268">
        <f t="shared" si="204"/>
        <v>1315.6107999999999</v>
      </c>
      <c r="M389" s="268">
        <f t="shared" si="205"/>
        <v>8899.5731999999989</v>
      </c>
      <c r="N389" s="268">
        <v>10215</v>
      </c>
      <c r="O389" s="269">
        <f t="shared" si="200"/>
        <v>4.4557495154960037E-3</v>
      </c>
      <c r="P389" s="44"/>
      <c r="Q389" s="49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</row>
    <row r="390" spans="1:36" ht="27.6" x14ac:dyDescent="0.25">
      <c r="A390" s="55"/>
      <c r="B390" s="265" t="s">
        <v>1424</v>
      </c>
      <c r="C390" s="266" t="s">
        <v>1515</v>
      </c>
      <c r="D390" s="265" t="s">
        <v>200</v>
      </c>
      <c r="E390" s="265" t="s">
        <v>1516</v>
      </c>
      <c r="F390" s="267" t="s">
        <v>43</v>
      </c>
      <c r="G390" s="279">
        <v>6</v>
      </c>
      <c r="H390" s="268">
        <v>117.43</v>
      </c>
      <c r="I390" s="268">
        <f>37.05*1.2488</f>
        <v>46.268039999999992</v>
      </c>
      <c r="J390" s="268">
        <f>80.38*1.2488</f>
        <v>100.37854399999999</v>
      </c>
      <c r="K390" s="268">
        <f t="shared" si="203"/>
        <v>146.64658399999999</v>
      </c>
      <c r="L390" s="268">
        <f t="shared" si="204"/>
        <v>277.60823999999997</v>
      </c>
      <c r="M390" s="268">
        <f t="shared" si="205"/>
        <v>602.27126399999997</v>
      </c>
      <c r="N390" s="268">
        <v>879.9</v>
      </c>
      <c r="O390" s="269">
        <f t="shared" si="200"/>
        <v>3.8380949571071302E-4</v>
      </c>
      <c r="P390" s="44"/>
      <c r="Q390" s="49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</row>
    <row r="391" spans="1:36" ht="13.8" x14ac:dyDescent="0.25">
      <c r="A391" s="55"/>
      <c r="B391" s="261" t="s">
        <v>923</v>
      </c>
      <c r="C391" s="261"/>
      <c r="D391" s="261"/>
      <c r="E391" s="261" t="s">
        <v>735</v>
      </c>
      <c r="F391" s="261"/>
      <c r="G391" s="278"/>
      <c r="H391" s="262"/>
      <c r="I391" s="261"/>
      <c r="J391" s="261"/>
      <c r="K391" s="261"/>
      <c r="L391" s="261"/>
      <c r="M391" s="261"/>
      <c r="N391" s="263">
        <f>SUM(N392:N404)</f>
        <v>40597.297056000003</v>
      </c>
      <c r="O391" s="264">
        <f>N391/$N$472</f>
        <v>1.7708407898944626E-2</v>
      </c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</row>
    <row r="392" spans="1:36" x14ac:dyDescent="0.25">
      <c r="A392" s="55"/>
      <c r="B392" s="265" t="s">
        <v>924</v>
      </c>
      <c r="C392" s="266" t="s">
        <v>1510</v>
      </c>
      <c r="D392" s="265" t="s">
        <v>200</v>
      </c>
      <c r="E392" s="265" t="s">
        <v>1509</v>
      </c>
      <c r="F392" s="267" t="s">
        <v>165</v>
      </c>
      <c r="G392" s="279">
        <v>1</v>
      </c>
      <c r="H392" s="268">
        <v>345.22</v>
      </c>
      <c r="I392" s="268">
        <f>52.67*1.2488</f>
        <v>65.774295999999993</v>
      </c>
      <c r="J392" s="268">
        <f>292.55*1.2488</f>
        <v>365.33643999999998</v>
      </c>
      <c r="K392" s="268">
        <f t="shared" ref="K392:K404" si="207">I392+J392</f>
        <v>431.11073599999997</v>
      </c>
      <c r="L392" s="268">
        <f t="shared" ref="L392:L404" si="208">G392*I392</f>
        <v>65.774295999999993</v>
      </c>
      <c r="M392" s="268">
        <f t="shared" ref="M392:M404" si="209">G392*J392</f>
        <v>365.33643999999998</v>
      </c>
      <c r="N392" s="268">
        <f t="shared" ref="N392:N400" si="210">L392+M392</f>
        <v>431.11073599999997</v>
      </c>
      <c r="O392" s="269">
        <f t="shared" si="200"/>
        <v>1.880490898734337E-4</v>
      </c>
      <c r="P392" s="44"/>
      <c r="Q392" s="49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</row>
    <row r="393" spans="1:36" ht="27.6" x14ac:dyDescent="0.25">
      <c r="A393" s="55"/>
      <c r="B393" s="265" t="s">
        <v>1060</v>
      </c>
      <c r="C393" s="266" t="s">
        <v>731</v>
      </c>
      <c r="D393" s="265" t="s">
        <v>40</v>
      </c>
      <c r="E393" s="265" t="s">
        <v>732</v>
      </c>
      <c r="F393" s="267" t="s">
        <v>43</v>
      </c>
      <c r="G393" s="279">
        <v>9</v>
      </c>
      <c r="H393" s="268">
        <v>1114.8</v>
      </c>
      <c r="I393" s="268">
        <f>298.74*1.2488</f>
        <v>373.06651199999999</v>
      </c>
      <c r="J393" s="268">
        <f>816.06*1.2488</f>
        <v>1019.0957279999999</v>
      </c>
      <c r="K393" s="268">
        <f t="shared" si="207"/>
        <v>1392.1622399999999</v>
      </c>
      <c r="L393" s="268">
        <f t="shared" si="208"/>
        <v>3357.5986079999998</v>
      </c>
      <c r="M393" s="268">
        <f t="shared" si="209"/>
        <v>9171.8615519999985</v>
      </c>
      <c r="N393" s="268">
        <v>12529.44</v>
      </c>
      <c r="O393" s="269">
        <f t="shared" si="200"/>
        <v>5.4653006568219529E-3</v>
      </c>
      <c r="P393" s="44"/>
      <c r="Q393" s="49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</row>
    <row r="394" spans="1:36" ht="27.6" x14ac:dyDescent="0.25">
      <c r="A394" s="55"/>
      <c r="B394" s="265" t="s">
        <v>1063</v>
      </c>
      <c r="C394" s="266" t="s">
        <v>736</v>
      </c>
      <c r="D394" s="265" t="s">
        <v>40</v>
      </c>
      <c r="E394" s="265" t="s">
        <v>737</v>
      </c>
      <c r="F394" s="267" t="s">
        <v>43</v>
      </c>
      <c r="G394" s="279">
        <v>9</v>
      </c>
      <c r="H394" s="268">
        <v>55.08</v>
      </c>
      <c r="I394" s="268">
        <f>7.41*1.2488</f>
        <v>9.2536079999999998</v>
      </c>
      <c r="J394" s="268">
        <f>47.67*1.2488</f>
        <v>59.530296</v>
      </c>
      <c r="K394" s="268">
        <f t="shared" si="207"/>
        <v>68.783904000000007</v>
      </c>
      <c r="L394" s="268">
        <f t="shared" si="208"/>
        <v>83.282471999999999</v>
      </c>
      <c r="M394" s="268">
        <f t="shared" si="209"/>
        <v>535.77266399999996</v>
      </c>
      <c r="N394" s="268">
        <v>619.02</v>
      </c>
      <c r="O394" s="269">
        <f t="shared" si="200"/>
        <v>2.7001449486855955E-4</v>
      </c>
      <c r="P394" s="44"/>
      <c r="Q394" s="49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</row>
    <row r="395" spans="1:36" x14ac:dyDescent="0.25">
      <c r="A395" s="55"/>
      <c r="B395" s="265" t="s">
        <v>1065</v>
      </c>
      <c r="C395" s="266" t="s">
        <v>228</v>
      </c>
      <c r="D395" s="265" t="s">
        <v>40</v>
      </c>
      <c r="E395" s="265" t="s">
        <v>229</v>
      </c>
      <c r="F395" s="267" t="s">
        <v>43</v>
      </c>
      <c r="G395" s="279">
        <v>9</v>
      </c>
      <c r="H395" s="268">
        <v>154.74</v>
      </c>
      <c r="I395" s="268">
        <f>22.74*1.2488</f>
        <v>28.397711999999995</v>
      </c>
      <c r="J395" s="268">
        <f>132*1.2488</f>
        <v>164.8416</v>
      </c>
      <c r="K395" s="268">
        <f t="shared" si="207"/>
        <v>193.23931199999998</v>
      </c>
      <c r="L395" s="268">
        <f t="shared" si="208"/>
        <v>255.57940799999994</v>
      </c>
      <c r="M395" s="268">
        <f t="shared" si="209"/>
        <v>1483.5744</v>
      </c>
      <c r="N395" s="268">
        <v>1739.16</v>
      </c>
      <c r="O395" s="269">
        <f t="shared" si="200"/>
        <v>7.5861589107880864E-4</v>
      </c>
      <c r="P395" s="44"/>
      <c r="Q395" s="49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</row>
    <row r="396" spans="1:36" x14ac:dyDescent="0.25">
      <c r="A396" s="55"/>
      <c r="B396" s="265" t="s">
        <v>1066</v>
      </c>
      <c r="C396" s="266" t="s">
        <v>230</v>
      </c>
      <c r="D396" s="265" t="s">
        <v>40</v>
      </c>
      <c r="E396" s="265" t="s">
        <v>231</v>
      </c>
      <c r="F396" s="267" t="s">
        <v>43</v>
      </c>
      <c r="G396" s="279">
        <v>1</v>
      </c>
      <c r="H396" s="268">
        <v>147.05000000000001</v>
      </c>
      <c r="I396" s="268">
        <f>7.88*1.2488</f>
        <v>9.8405439999999995</v>
      </c>
      <c r="J396" s="268">
        <f>139.17*1.2488</f>
        <v>173.79549599999999</v>
      </c>
      <c r="K396" s="268">
        <f t="shared" si="207"/>
        <v>183.63603999999998</v>
      </c>
      <c r="L396" s="268">
        <f t="shared" si="208"/>
        <v>9.8405439999999995</v>
      </c>
      <c r="M396" s="268">
        <f t="shared" si="209"/>
        <v>173.79549599999999</v>
      </c>
      <c r="N396" s="268">
        <f t="shared" si="210"/>
        <v>183.63603999999998</v>
      </c>
      <c r="O396" s="269">
        <f t="shared" si="200"/>
        <v>8.0101438693842847E-5</v>
      </c>
      <c r="P396" s="44"/>
      <c r="Q396" s="49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</row>
    <row r="397" spans="1:36" x14ac:dyDescent="0.25">
      <c r="A397" s="55"/>
      <c r="B397" s="265" t="s">
        <v>1067</v>
      </c>
      <c r="C397" s="266" t="s">
        <v>738</v>
      </c>
      <c r="D397" s="265" t="s">
        <v>40</v>
      </c>
      <c r="E397" s="265" t="s">
        <v>739</v>
      </c>
      <c r="F397" s="267" t="s">
        <v>43</v>
      </c>
      <c r="G397" s="279">
        <v>2</v>
      </c>
      <c r="H397" s="268">
        <v>175.8</v>
      </c>
      <c r="I397" s="268">
        <f>9.75*1.2488</f>
        <v>12.175799999999999</v>
      </c>
      <c r="J397" s="268">
        <f>166.05*1.2488</f>
        <v>207.36323999999999</v>
      </c>
      <c r="K397" s="268">
        <f t="shared" si="207"/>
        <v>219.53904</v>
      </c>
      <c r="L397" s="268">
        <f t="shared" si="208"/>
        <v>24.351599999999998</v>
      </c>
      <c r="M397" s="268">
        <f t="shared" si="209"/>
        <v>414.72647999999998</v>
      </c>
      <c r="N397" s="268">
        <f t="shared" si="210"/>
        <v>439.07808</v>
      </c>
      <c r="O397" s="269">
        <f t="shared" si="200"/>
        <v>1.9152441920948756E-4</v>
      </c>
      <c r="P397" s="44"/>
      <c r="Q397" s="49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</row>
    <row r="398" spans="1:36" x14ac:dyDescent="0.25">
      <c r="A398" s="55"/>
      <c r="B398" s="265" t="s">
        <v>1068</v>
      </c>
      <c r="C398" s="266" t="s">
        <v>740</v>
      </c>
      <c r="D398" s="265" t="s">
        <v>40</v>
      </c>
      <c r="E398" s="265" t="s">
        <v>741</v>
      </c>
      <c r="F398" s="267" t="s">
        <v>43</v>
      </c>
      <c r="G398" s="279">
        <v>24</v>
      </c>
      <c r="H398" s="268">
        <v>31.84</v>
      </c>
      <c r="I398" s="268">
        <f>11.16*1.2488</f>
        <v>13.936608</v>
      </c>
      <c r="J398" s="268">
        <f>20.68*1.2488</f>
        <v>25.825183999999997</v>
      </c>
      <c r="K398" s="268">
        <f t="shared" si="207"/>
        <v>39.761792</v>
      </c>
      <c r="L398" s="268">
        <f t="shared" si="208"/>
        <v>334.47859199999999</v>
      </c>
      <c r="M398" s="268">
        <f t="shared" si="209"/>
        <v>619.80441599999995</v>
      </c>
      <c r="N398" s="268">
        <v>954.24</v>
      </c>
      <c r="O398" s="269">
        <f t="shared" si="200"/>
        <v>4.1623636002612887E-4</v>
      </c>
      <c r="P398" s="44"/>
      <c r="Q398" s="49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</row>
    <row r="399" spans="1:36" x14ac:dyDescent="0.25">
      <c r="A399" s="55"/>
      <c r="B399" s="265" t="s">
        <v>1069</v>
      </c>
      <c r="C399" s="266" t="s">
        <v>742</v>
      </c>
      <c r="D399" s="265" t="s">
        <v>40</v>
      </c>
      <c r="E399" s="265" t="s">
        <v>743</v>
      </c>
      <c r="F399" s="267" t="s">
        <v>43</v>
      </c>
      <c r="G399" s="279">
        <v>1</v>
      </c>
      <c r="H399" s="268">
        <v>152.07</v>
      </c>
      <c r="I399" s="268">
        <f>69.23*1.2488</f>
        <v>86.454424000000003</v>
      </c>
      <c r="J399" s="268">
        <f>82.84*1.2488</f>
        <v>103.450592</v>
      </c>
      <c r="K399" s="268">
        <f t="shared" si="207"/>
        <v>189.90501599999999</v>
      </c>
      <c r="L399" s="268">
        <f t="shared" si="208"/>
        <v>86.454424000000003</v>
      </c>
      <c r="M399" s="268">
        <f t="shared" si="209"/>
        <v>103.450592</v>
      </c>
      <c r="N399" s="268">
        <f t="shared" si="210"/>
        <v>189.90501599999999</v>
      </c>
      <c r="O399" s="269">
        <f t="shared" si="200"/>
        <v>8.2835945475502769E-5</v>
      </c>
      <c r="P399" s="44"/>
      <c r="Q399" s="49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</row>
    <row r="400" spans="1:36" x14ac:dyDescent="0.25">
      <c r="A400" s="55"/>
      <c r="B400" s="265" t="s">
        <v>1071</v>
      </c>
      <c r="C400" s="266" t="s">
        <v>744</v>
      </c>
      <c r="D400" s="265" t="s">
        <v>40</v>
      </c>
      <c r="E400" s="265" t="s">
        <v>745</v>
      </c>
      <c r="F400" s="267" t="s">
        <v>43</v>
      </c>
      <c r="G400" s="279">
        <v>1</v>
      </c>
      <c r="H400" s="268">
        <v>35.68</v>
      </c>
      <c r="I400" s="268">
        <f>21.56*1.2488</f>
        <v>26.924127999999996</v>
      </c>
      <c r="J400" s="268">
        <f>14.12*1.2488</f>
        <v>17.633055999999996</v>
      </c>
      <c r="K400" s="268">
        <f t="shared" si="207"/>
        <v>44.557183999999992</v>
      </c>
      <c r="L400" s="268">
        <f t="shared" si="208"/>
        <v>26.924127999999996</v>
      </c>
      <c r="M400" s="268">
        <f t="shared" si="209"/>
        <v>17.633055999999996</v>
      </c>
      <c r="N400" s="268">
        <f t="shared" si="210"/>
        <v>44.557183999999992</v>
      </c>
      <c r="O400" s="269">
        <f t="shared" si="200"/>
        <v>1.9435697603511137E-5</v>
      </c>
      <c r="P400" s="44" t="s">
        <v>1748</v>
      </c>
      <c r="Q400" s="49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</row>
    <row r="401" spans="1:36" x14ac:dyDescent="0.25">
      <c r="A401" s="55"/>
      <c r="B401" s="265" t="s">
        <v>1074</v>
      </c>
      <c r="C401" s="266" t="s">
        <v>1505</v>
      </c>
      <c r="D401" s="265" t="s">
        <v>200</v>
      </c>
      <c r="E401" s="265" t="s">
        <v>1506</v>
      </c>
      <c r="F401" s="267" t="s">
        <v>54</v>
      </c>
      <c r="G401" s="279">
        <v>265</v>
      </c>
      <c r="H401" s="268">
        <v>41.44</v>
      </c>
      <c r="I401" s="268">
        <f>7.9*1.2488</f>
        <v>9.8655200000000001</v>
      </c>
      <c r="J401" s="268">
        <f>33.54*1.2488</f>
        <v>41.884751999999999</v>
      </c>
      <c r="K401" s="268">
        <f t="shared" si="207"/>
        <v>51.750271999999995</v>
      </c>
      <c r="L401" s="268">
        <f t="shared" si="208"/>
        <v>2614.3627999999999</v>
      </c>
      <c r="M401" s="268">
        <f t="shared" si="209"/>
        <v>11099.459279999999</v>
      </c>
      <c r="N401" s="268">
        <v>13713.75</v>
      </c>
      <c r="O401" s="269">
        <f t="shared" si="200"/>
        <v>5.9818927966846132E-3</v>
      </c>
      <c r="P401" s="44"/>
      <c r="Q401" s="49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</row>
    <row r="402" spans="1:36" x14ac:dyDescent="0.25">
      <c r="A402" s="55"/>
      <c r="B402" s="265" t="s">
        <v>1075</v>
      </c>
      <c r="C402" s="266" t="s">
        <v>1507</v>
      </c>
      <c r="D402" s="265" t="s">
        <v>200</v>
      </c>
      <c r="E402" s="265" t="s">
        <v>1508</v>
      </c>
      <c r="F402" s="267" t="s">
        <v>54</v>
      </c>
      <c r="G402" s="279">
        <v>120</v>
      </c>
      <c r="H402" s="268">
        <v>58.69</v>
      </c>
      <c r="I402" s="268">
        <f>10.54*1.2488</f>
        <v>13.162351999999998</v>
      </c>
      <c r="J402" s="268">
        <f>48.15*1.2488</f>
        <v>60.129719999999992</v>
      </c>
      <c r="K402" s="268">
        <f t="shared" si="207"/>
        <v>73.29207199999999</v>
      </c>
      <c r="L402" s="268">
        <f t="shared" si="208"/>
        <v>1579.4822399999998</v>
      </c>
      <c r="M402" s="268">
        <f t="shared" si="209"/>
        <v>7215.5663999999988</v>
      </c>
      <c r="N402" s="268">
        <v>8794.7999999999993</v>
      </c>
      <c r="O402" s="269">
        <f t="shared" si="200"/>
        <v>3.8362629308746204E-3</v>
      </c>
      <c r="P402" s="44"/>
      <c r="Q402" s="49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</row>
    <row r="403" spans="1:36" ht="27.6" x14ac:dyDescent="0.25">
      <c r="A403" s="55"/>
      <c r="B403" s="265" t="s">
        <v>1076</v>
      </c>
      <c r="C403" s="266" t="s">
        <v>746</v>
      </c>
      <c r="D403" s="265" t="s">
        <v>40</v>
      </c>
      <c r="E403" s="265" t="s">
        <v>747</v>
      </c>
      <c r="F403" s="267" t="s">
        <v>43</v>
      </c>
      <c r="G403" s="279">
        <v>10</v>
      </c>
      <c r="H403" s="268">
        <v>72.36</v>
      </c>
      <c r="I403" s="268">
        <f>43.72*1.2488</f>
        <v>54.597535999999998</v>
      </c>
      <c r="J403" s="268">
        <f>28.64*1.2488</f>
        <v>35.765631999999997</v>
      </c>
      <c r="K403" s="268">
        <f t="shared" si="207"/>
        <v>90.363168000000002</v>
      </c>
      <c r="L403" s="268">
        <f t="shared" si="208"/>
        <v>545.97536000000002</v>
      </c>
      <c r="M403" s="268">
        <f t="shared" si="209"/>
        <v>357.65631999999994</v>
      </c>
      <c r="N403" s="268">
        <v>903.6</v>
      </c>
      <c r="O403" s="269">
        <f t="shared" si="200"/>
        <v>3.9414735802273019E-4</v>
      </c>
      <c r="P403" s="44"/>
      <c r="Q403" s="49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</row>
    <row r="404" spans="1:36" x14ac:dyDescent="0.25">
      <c r="A404" s="55"/>
      <c r="B404" s="265" t="s">
        <v>1077</v>
      </c>
      <c r="C404" s="266" t="s">
        <v>748</v>
      </c>
      <c r="D404" s="265" t="s">
        <v>40</v>
      </c>
      <c r="E404" s="265" t="s">
        <v>749</v>
      </c>
      <c r="F404" s="267" t="s">
        <v>43</v>
      </c>
      <c r="G404" s="279">
        <v>5</v>
      </c>
      <c r="H404" s="268">
        <v>8.81</v>
      </c>
      <c r="I404" s="268">
        <f>2.31*1.2488</f>
        <v>2.884728</v>
      </c>
      <c r="J404" s="268">
        <f>6.5*1.2488</f>
        <v>8.1171999999999986</v>
      </c>
      <c r="K404" s="268">
        <f t="shared" si="207"/>
        <v>11.001927999999999</v>
      </c>
      <c r="L404" s="268">
        <f t="shared" si="208"/>
        <v>14.423639999999999</v>
      </c>
      <c r="M404" s="268">
        <f t="shared" si="209"/>
        <v>40.585999999999991</v>
      </c>
      <c r="N404" s="268">
        <v>55</v>
      </c>
      <c r="O404" s="269">
        <f t="shared" si="200"/>
        <v>2.3990819711432228E-5</v>
      </c>
      <c r="P404" s="44"/>
      <c r="Q404" s="49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</row>
    <row r="405" spans="1:36" ht="13.8" x14ac:dyDescent="0.25">
      <c r="A405" s="55"/>
      <c r="B405" s="261">
        <v>17</v>
      </c>
      <c r="C405" s="261"/>
      <c r="D405" s="261"/>
      <c r="E405" s="261" t="s">
        <v>292</v>
      </c>
      <c r="F405" s="261"/>
      <c r="G405" s="278"/>
      <c r="H405" s="262"/>
      <c r="I405" s="261"/>
      <c r="J405" s="261"/>
      <c r="K405" s="261"/>
      <c r="L405" s="261"/>
      <c r="M405" s="261"/>
      <c r="N405" s="263">
        <f>N406+N417</f>
        <v>67220.950023999991</v>
      </c>
      <c r="O405" s="264">
        <f>N405/$N$472</f>
        <v>2.9321558051945085E-2</v>
      </c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</row>
    <row r="406" spans="1:36" ht="13.8" x14ac:dyDescent="0.25">
      <c r="A406" s="55"/>
      <c r="B406" s="261" t="s">
        <v>273</v>
      </c>
      <c r="C406" s="261"/>
      <c r="D406" s="261"/>
      <c r="E406" s="261" t="s">
        <v>689</v>
      </c>
      <c r="F406" s="261"/>
      <c r="G406" s="278"/>
      <c r="H406" s="262"/>
      <c r="I406" s="261"/>
      <c r="J406" s="261"/>
      <c r="K406" s="261"/>
      <c r="L406" s="261"/>
      <c r="M406" s="261"/>
      <c r="N406" s="263">
        <f>SUM(N407:N416)</f>
        <v>63950.679999999993</v>
      </c>
      <c r="O406" s="264">
        <f>N406/$N$472</f>
        <v>2.7895076987336263E-2</v>
      </c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</row>
    <row r="407" spans="1:36" ht="27.6" x14ac:dyDescent="0.25">
      <c r="A407" s="55"/>
      <c r="B407" s="265" t="s">
        <v>586</v>
      </c>
      <c r="C407" s="266" t="s">
        <v>1101</v>
      </c>
      <c r="D407" s="265" t="s">
        <v>40</v>
      </c>
      <c r="E407" s="265" t="s">
        <v>1102</v>
      </c>
      <c r="F407" s="267" t="s">
        <v>54</v>
      </c>
      <c r="G407" s="279">
        <v>98</v>
      </c>
      <c r="H407" s="268">
        <v>32.14</v>
      </c>
      <c r="I407" s="268">
        <f>5.68*1.2488</f>
        <v>7.093183999999999</v>
      </c>
      <c r="J407" s="268">
        <f>55.18*1.2488</f>
        <v>68.908783999999997</v>
      </c>
      <c r="K407" s="268">
        <f t="shared" ref="K407:K415" si="211">I407+J407</f>
        <v>76.001967999999991</v>
      </c>
      <c r="L407" s="268">
        <f t="shared" ref="L407:L415" si="212">G407*I407</f>
        <v>695.13203199999987</v>
      </c>
      <c r="M407" s="268">
        <f t="shared" ref="M407:M415" si="213">G407*J407</f>
        <v>6753.0608320000001</v>
      </c>
      <c r="N407" s="268">
        <v>7448</v>
      </c>
      <c r="O407" s="269">
        <f t="shared" si="200"/>
        <v>3.2487931856499497E-3</v>
      </c>
      <c r="P407" s="44"/>
      <c r="Q407" s="49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</row>
    <row r="408" spans="1:36" ht="27.6" x14ac:dyDescent="0.25">
      <c r="A408" s="55"/>
      <c r="B408" s="265" t="s">
        <v>587</v>
      </c>
      <c r="C408" s="266" t="s">
        <v>1103</v>
      </c>
      <c r="D408" s="265" t="s">
        <v>40</v>
      </c>
      <c r="E408" s="265" t="s">
        <v>1104</v>
      </c>
      <c r="F408" s="267" t="s">
        <v>54</v>
      </c>
      <c r="G408" s="279">
        <v>22</v>
      </c>
      <c r="H408" s="268">
        <v>48.77</v>
      </c>
      <c r="I408" s="268">
        <f>5.36*1.2488</f>
        <v>6.693568</v>
      </c>
      <c r="J408" s="268">
        <f>43.41*1.2488</f>
        <v>54.210407999999994</v>
      </c>
      <c r="K408" s="268">
        <f t="shared" si="211"/>
        <v>60.903975999999993</v>
      </c>
      <c r="L408" s="268">
        <f t="shared" si="212"/>
        <v>147.25849600000001</v>
      </c>
      <c r="M408" s="268">
        <f t="shared" si="213"/>
        <v>1192.628976</v>
      </c>
      <c r="N408" s="268">
        <v>1339.8</v>
      </c>
      <c r="O408" s="269">
        <f t="shared" si="200"/>
        <v>5.8441636817048903E-4</v>
      </c>
      <c r="P408" s="44"/>
      <c r="Q408" s="49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</row>
    <row r="409" spans="1:36" ht="27.6" x14ac:dyDescent="0.25">
      <c r="A409" s="55"/>
      <c r="B409" s="265" t="s">
        <v>588</v>
      </c>
      <c r="C409" s="266" t="s">
        <v>1105</v>
      </c>
      <c r="D409" s="265" t="s">
        <v>40</v>
      </c>
      <c r="E409" s="265" t="s">
        <v>1106</v>
      </c>
      <c r="F409" s="267" t="s">
        <v>54</v>
      </c>
      <c r="G409" s="279">
        <v>84</v>
      </c>
      <c r="H409" s="268">
        <v>60.86</v>
      </c>
      <c r="I409" s="268">
        <f>5.68*1.2488</f>
        <v>7.093183999999999</v>
      </c>
      <c r="J409" s="268">
        <f>55.18*1.2488</f>
        <v>68.908783999999997</v>
      </c>
      <c r="K409" s="268">
        <f t="shared" si="211"/>
        <v>76.001967999999991</v>
      </c>
      <c r="L409" s="268">
        <f t="shared" si="212"/>
        <v>595.82745599999987</v>
      </c>
      <c r="M409" s="268">
        <f t="shared" si="213"/>
        <v>5788.3378560000001</v>
      </c>
      <c r="N409" s="268">
        <v>6384</v>
      </c>
      <c r="O409" s="269">
        <f t="shared" si="200"/>
        <v>2.7846798734142424E-3</v>
      </c>
      <c r="P409" s="44"/>
      <c r="Q409" s="49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</row>
    <row r="410" spans="1:36" ht="27.6" x14ac:dyDescent="0.25">
      <c r="A410" s="55"/>
      <c r="B410" s="265" t="s">
        <v>591</v>
      </c>
      <c r="C410" s="266" t="s">
        <v>751</v>
      </c>
      <c r="D410" s="265" t="s">
        <v>40</v>
      </c>
      <c r="E410" s="265" t="s">
        <v>1107</v>
      </c>
      <c r="F410" s="267" t="s">
        <v>54</v>
      </c>
      <c r="G410" s="279">
        <v>8</v>
      </c>
      <c r="H410" s="268">
        <v>67.59</v>
      </c>
      <c r="I410" s="268">
        <f>3.35*1.2488</f>
        <v>4.1834799999999994</v>
      </c>
      <c r="J410" s="268">
        <f>64.24*1.2488</f>
        <v>80.222911999999994</v>
      </c>
      <c r="K410" s="268">
        <f t="shared" si="211"/>
        <v>84.406391999999997</v>
      </c>
      <c r="L410" s="268">
        <f t="shared" si="212"/>
        <v>33.467839999999995</v>
      </c>
      <c r="M410" s="268">
        <f t="shared" si="213"/>
        <v>641.78329599999995</v>
      </c>
      <c r="N410" s="268">
        <v>675.28</v>
      </c>
      <c r="O410" s="269">
        <f t="shared" si="200"/>
        <v>2.9455492244974461E-4</v>
      </c>
      <c r="P410" s="44"/>
      <c r="Q410" s="49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</row>
    <row r="411" spans="1:36" x14ac:dyDescent="0.25">
      <c r="A411" s="55"/>
      <c r="B411" s="265" t="s">
        <v>592</v>
      </c>
      <c r="C411" s="266" t="s">
        <v>1495</v>
      </c>
      <c r="D411" s="265" t="s">
        <v>200</v>
      </c>
      <c r="E411" s="265" t="s">
        <v>1496</v>
      </c>
      <c r="F411" s="267" t="s">
        <v>54</v>
      </c>
      <c r="G411" s="279">
        <v>128</v>
      </c>
      <c r="H411" s="268">
        <v>22.64</v>
      </c>
      <c r="I411" s="268">
        <f>6.32*1.2488</f>
        <v>7.8924159999999999</v>
      </c>
      <c r="J411" s="268">
        <f>16.32*1.2488</f>
        <v>20.380416</v>
      </c>
      <c r="K411" s="268">
        <f t="shared" si="211"/>
        <v>28.272832000000001</v>
      </c>
      <c r="L411" s="268">
        <f t="shared" si="212"/>
        <v>1010.229248</v>
      </c>
      <c r="M411" s="268">
        <f t="shared" si="213"/>
        <v>2608.693248</v>
      </c>
      <c r="N411" s="268">
        <v>3618.56</v>
      </c>
      <c r="O411" s="269">
        <f t="shared" si="200"/>
        <v>1.578404010454549E-3</v>
      </c>
      <c r="P411" s="44"/>
      <c r="Q411" s="49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</row>
    <row r="412" spans="1:36" ht="27.6" x14ac:dyDescent="0.25">
      <c r="A412" s="55"/>
      <c r="B412" s="265" t="s">
        <v>593</v>
      </c>
      <c r="C412" s="266" t="s">
        <v>1503</v>
      </c>
      <c r="D412" s="265" t="s">
        <v>200</v>
      </c>
      <c r="E412" s="265" t="s">
        <v>1504</v>
      </c>
      <c r="F412" s="267" t="s">
        <v>43</v>
      </c>
      <c r="G412" s="279">
        <v>16</v>
      </c>
      <c r="H412" s="268">
        <v>43.26</v>
      </c>
      <c r="I412" s="268">
        <f>14.26*1.2488</f>
        <v>17.807887999999998</v>
      </c>
      <c r="J412" s="268">
        <f>29*1.2488</f>
        <v>36.215199999999996</v>
      </c>
      <c r="K412" s="268">
        <f t="shared" si="211"/>
        <v>54.023087999999994</v>
      </c>
      <c r="L412" s="268">
        <f t="shared" si="212"/>
        <v>284.92620799999997</v>
      </c>
      <c r="M412" s="268">
        <f t="shared" si="213"/>
        <v>579.44319999999993</v>
      </c>
      <c r="N412" s="268">
        <v>864.32</v>
      </c>
      <c r="O412" s="269">
        <f t="shared" si="200"/>
        <v>3.7701355078154731E-4</v>
      </c>
      <c r="P412" s="44"/>
      <c r="Q412" s="49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</row>
    <row r="413" spans="1:36" x14ac:dyDescent="0.25">
      <c r="A413" s="55"/>
      <c r="B413" s="265" t="s">
        <v>594</v>
      </c>
      <c r="C413" s="266" t="s">
        <v>1497</v>
      </c>
      <c r="D413" s="265" t="s">
        <v>200</v>
      </c>
      <c r="E413" s="265" t="s">
        <v>1498</v>
      </c>
      <c r="F413" s="267" t="s">
        <v>64</v>
      </c>
      <c r="G413" s="279">
        <v>636</v>
      </c>
      <c r="H413" s="268">
        <v>52.17</v>
      </c>
      <c r="I413" s="268">
        <f>30.51*1.2488</f>
        <v>38.100887999999998</v>
      </c>
      <c r="J413" s="268">
        <f>21.66*1.2488</f>
        <v>27.049007999999997</v>
      </c>
      <c r="K413" s="268">
        <f t="shared" si="211"/>
        <v>65.149895999999998</v>
      </c>
      <c r="L413" s="268">
        <f t="shared" si="212"/>
        <v>24232.164767999999</v>
      </c>
      <c r="M413" s="268">
        <f t="shared" si="213"/>
        <v>17203.169087999999</v>
      </c>
      <c r="N413" s="268">
        <v>41435.4</v>
      </c>
      <c r="O413" s="269">
        <f t="shared" si="200"/>
        <v>1.8073985655837798E-2</v>
      </c>
      <c r="P413" s="44"/>
      <c r="Q413" s="49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</row>
    <row r="414" spans="1:36" x14ac:dyDescent="0.25">
      <c r="A414" s="55"/>
      <c r="B414" s="265" t="s">
        <v>595</v>
      </c>
      <c r="C414" s="266" t="s">
        <v>1499</v>
      </c>
      <c r="D414" s="265" t="s">
        <v>200</v>
      </c>
      <c r="E414" s="265" t="s">
        <v>1500</v>
      </c>
      <c r="F414" s="267" t="s">
        <v>54</v>
      </c>
      <c r="G414" s="279">
        <v>24</v>
      </c>
      <c r="H414" s="268">
        <v>28.27</v>
      </c>
      <c r="I414" s="268">
        <f>14.16*1.2488</f>
        <v>17.683007999999997</v>
      </c>
      <c r="J414" s="268">
        <f>14.11*1.2488</f>
        <v>17.620567999999999</v>
      </c>
      <c r="K414" s="268">
        <f t="shared" si="211"/>
        <v>35.303575999999993</v>
      </c>
      <c r="L414" s="268">
        <f t="shared" si="212"/>
        <v>424.39219199999991</v>
      </c>
      <c r="M414" s="268">
        <f t="shared" si="213"/>
        <v>422.89363199999997</v>
      </c>
      <c r="N414" s="268">
        <v>847.2</v>
      </c>
      <c r="O414" s="269">
        <f t="shared" si="200"/>
        <v>3.6954586290046152E-4</v>
      </c>
      <c r="P414" s="44"/>
      <c r="Q414" s="49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</row>
    <row r="415" spans="1:36" x14ac:dyDescent="0.25">
      <c r="A415" s="55"/>
      <c r="B415" s="265" t="s">
        <v>1656</v>
      </c>
      <c r="C415" s="266" t="s">
        <v>1501</v>
      </c>
      <c r="D415" s="265" t="s">
        <v>200</v>
      </c>
      <c r="E415" s="265" t="s">
        <v>1502</v>
      </c>
      <c r="F415" s="267" t="s">
        <v>54</v>
      </c>
      <c r="G415" s="279">
        <v>28</v>
      </c>
      <c r="H415" s="268">
        <v>24.29</v>
      </c>
      <c r="I415" s="268">
        <f>14.16*1.2488</f>
        <v>17.683007999999997</v>
      </c>
      <c r="J415" s="268">
        <f>10.13*1.2488</f>
        <v>12.650344</v>
      </c>
      <c r="K415" s="268">
        <f t="shared" si="211"/>
        <v>30.333351999999998</v>
      </c>
      <c r="L415" s="268">
        <f t="shared" si="212"/>
        <v>495.12422399999991</v>
      </c>
      <c r="M415" s="268">
        <f t="shared" si="213"/>
        <v>354.209632</v>
      </c>
      <c r="N415" s="268">
        <v>849.24</v>
      </c>
      <c r="O415" s="269">
        <f t="shared" si="200"/>
        <v>3.7043570421339464E-4</v>
      </c>
      <c r="P415" s="44"/>
      <c r="Q415" s="49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</row>
    <row r="416" spans="1:36" ht="27.6" x14ac:dyDescent="0.25">
      <c r="A416" s="55"/>
      <c r="B416" s="265" t="s">
        <v>1657</v>
      </c>
      <c r="C416" s="266" t="s">
        <v>913</v>
      </c>
      <c r="D416" s="265" t="s">
        <v>40</v>
      </c>
      <c r="E416" s="265" t="s">
        <v>914</v>
      </c>
      <c r="F416" s="267" t="s">
        <v>54</v>
      </c>
      <c r="G416" s="279">
        <v>18</v>
      </c>
      <c r="H416" s="268">
        <v>21.75</v>
      </c>
      <c r="I416" s="268">
        <f>10.48*1.2488</f>
        <v>13.087424</v>
      </c>
      <c r="J416" s="268">
        <f>11.27*1.2488</f>
        <v>14.073975999999998</v>
      </c>
      <c r="K416" s="268">
        <f t="shared" ref="K416" si="214">I416+J416</f>
        <v>27.1614</v>
      </c>
      <c r="L416" s="268">
        <f t="shared" ref="L416" si="215">G416*I416</f>
        <v>235.573632</v>
      </c>
      <c r="M416" s="268">
        <f t="shared" ref="M416" si="216">G416*J416</f>
        <v>253.33156799999998</v>
      </c>
      <c r="N416" s="268">
        <v>488.88</v>
      </c>
      <c r="O416" s="269">
        <f t="shared" si="200"/>
        <v>2.1324785346409067E-4</v>
      </c>
      <c r="P416" s="44"/>
      <c r="Q416" s="49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</row>
    <row r="417" spans="1:36" ht="13.8" x14ac:dyDescent="0.25">
      <c r="A417" s="55"/>
      <c r="B417" s="261" t="s">
        <v>274</v>
      </c>
      <c r="C417" s="261"/>
      <c r="D417" s="261"/>
      <c r="E417" s="261" t="s">
        <v>576</v>
      </c>
      <c r="F417" s="261"/>
      <c r="G417" s="278"/>
      <c r="H417" s="262"/>
      <c r="I417" s="261"/>
      <c r="J417" s="261"/>
      <c r="K417" s="261"/>
      <c r="L417" s="261"/>
      <c r="M417" s="261"/>
      <c r="N417" s="263">
        <f>SUM(N418:N421)</f>
        <v>3270.2700239999995</v>
      </c>
      <c r="O417" s="264">
        <f>N417/$N$472</f>
        <v>1.4264810646088205E-3</v>
      </c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</row>
    <row r="418" spans="1:36" x14ac:dyDescent="0.25">
      <c r="A418" s="55"/>
      <c r="B418" s="265" t="s">
        <v>645</v>
      </c>
      <c r="C418" s="266" t="s">
        <v>1491</v>
      </c>
      <c r="D418" s="265" t="s">
        <v>200</v>
      </c>
      <c r="E418" s="265" t="s">
        <v>1492</v>
      </c>
      <c r="F418" s="267" t="s">
        <v>43</v>
      </c>
      <c r="G418" s="279">
        <v>1</v>
      </c>
      <c r="H418" s="268">
        <v>484.29</v>
      </c>
      <c r="I418" s="268">
        <f>52.67*1.2488</f>
        <v>65.774295999999993</v>
      </c>
      <c r="J418" s="268">
        <f>431.62*1.2488</f>
        <v>539.00705599999992</v>
      </c>
      <c r="K418" s="268">
        <f t="shared" ref="K418:K421" si="217">I418+J418</f>
        <v>604.78135199999997</v>
      </c>
      <c r="L418" s="268">
        <f t="shared" ref="L418:L421" si="218">G418*I418</f>
        <v>65.774295999999993</v>
      </c>
      <c r="M418" s="268">
        <f t="shared" ref="M418:M421" si="219">G418*J418</f>
        <v>539.00705599999992</v>
      </c>
      <c r="N418" s="268">
        <f t="shared" ref="N418:N421" si="220">L418+M418</f>
        <v>604.78135199999997</v>
      </c>
      <c r="O418" s="269">
        <f t="shared" si="200"/>
        <v>2.6380364328487693E-4</v>
      </c>
      <c r="P418" s="44"/>
      <c r="Q418" s="49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</row>
    <row r="419" spans="1:36" x14ac:dyDescent="0.25">
      <c r="A419" s="55"/>
      <c r="B419" s="265" t="s">
        <v>646</v>
      </c>
      <c r="C419" s="266" t="s">
        <v>1491</v>
      </c>
      <c r="D419" s="265" t="s">
        <v>200</v>
      </c>
      <c r="E419" s="265" t="s">
        <v>1492</v>
      </c>
      <c r="F419" s="267" t="s">
        <v>43</v>
      </c>
      <c r="G419" s="279">
        <v>1</v>
      </c>
      <c r="H419" s="268">
        <v>484.29</v>
      </c>
      <c r="I419" s="268">
        <f>52.67*1.2488</f>
        <v>65.774295999999993</v>
      </c>
      <c r="J419" s="268">
        <f>431.62*1.2488</f>
        <v>539.00705599999992</v>
      </c>
      <c r="K419" s="268">
        <f t="shared" si="217"/>
        <v>604.78135199999997</v>
      </c>
      <c r="L419" s="268">
        <f t="shared" si="218"/>
        <v>65.774295999999993</v>
      </c>
      <c r="M419" s="268">
        <f t="shared" si="219"/>
        <v>539.00705599999992</v>
      </c>
      <c r="N419" s="268">
        <f t="shared" si="220"/>
        <v>604.78135199999997</v>
      </c>
      <c r="O419" s="269">
        <f t="shared" si="200"/>
        <v>2.6380364328487693E-4</v>
      </c>
      <c r="P419" s="44"/>
      <c r="Q419" s="49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</row>
    <row r="420" spans="1:36" x14ac:dyDescent="0.25">
      <c r="A420" s="55"/>
      <c r="B420" s="265" t="s">
        <v>647</v>
      </c>
      <c r="C420" s="266" t="s">
        <v>1493</v>
      </c>
      <c r="D420" s="265" t="s">
        <v>200</v>
      </c>
      <c r="E420" s="265" t="s">
        <v>1494</v>
      </c>
      <c r="F420" s="267" t="s">
        <v>43</v>
      </c>
      <c r="G420" s="279">
        <v>3</v>
      </c>
      <c r="H420" s="268">
        <v>388.62</v>
      </c>
      <c r="I420" s="268">
        <f>52.67*1.2488</f>
        <v>65.774295999999993</v>
      </c>
      <c r="J420" s="268">
        <f>335.95*1.2488</f>
        <v>419.53435999999994</v>
      </c>
      <c r="K420" s="268">
        <f t="shared" si="217"/>
        <v>485.30865599999993</v>
      </c>
      <c r="L420" s="268">
        <f t="shared" si="218"/>
        <v>197.32288799999998</v>
      </c>
      <c r="M420" s="268">
        <f t="shared" si="219"/>
        <v>1258.6030799999999</v>
      </c>
      <c r="N420" s="268">
        <f t="shared" si="220"/>
        <v>1455.9259679999998</v>
      </c>
      <c r="O420" s="269">
        <f t="shared" si="200"/>
        <v>6.3507013475418985E-4</v>
      </c>
      <c r="P420" s="44"/>
      <c r="Q420" s="49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</row>
    <row r="421" spans="1:36" x14ac:dyDescent="0.25">
      <c r="A421" s="55"/>
      <c r="B421" s="265" t="s">
        <v>1425</v>
      </c>
      <c r="C421" s="266" t="s">
        <v>1491</v>
      </c>
      <c r="D421" s="265" t="s">
        <v>200</v>
      </c>
      <c r="E421" s="265" t="s">
        <v>1492</v>
      </c>
      <c r="F421" s="267" t="s">
        <v>43</v>
      </c>
      <c r="G421" s="279">
        <v>1</v>
      </c>
      <c r="H421" s="268">
        <v>484.29</v>
      </c>
      <c r="I421" s="268">
        <f>52.67*1.2488</f>
        <v>65.774295999999993</v>
      </c>
      <c r="J421" s="268">
        <f>431.62*1.2488</f>
        <v>539.00705599999992</v>
      </c>
      <c r="K421" s="268">
        <f t="shared" si="217"/>
        <v>604.78135199999997</v>
      </c>
      <c r="L421" s="268">
        <f t="shared" si="218"/>
        <v>65.774295999999993</v>
      </c>
      <c r="M421" s="268">
        <f t="shared" si="219"/>
        <v>539.00705599999992</v>
      </c>
      <c r="N421" s="268">
        <f t="shared" si="220"/>
        <v>604.78135199999997</v>
      </c>
      <c r="O421" s="269">
        <f t="shared" si="200"/>
        <v>2.6380364328487693E-4</v>
      </c>
      <c r="P421" s="44"/>
      <c r="Q421" s="49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</row>
    <row r="422" spans="1:36" ht="13.8" x14ac:dyDescent="0.25">
      <c r="A422" s="55"/>
      <c r="B422" s="261">
        <v>18</v>
      </c>
      <c r="C422" s="261"/>
      <c r="D422" s="261"/>
      <c r="E422" s="261" t="s">
        <v>293</v>
      </c>
      <c r="F422" s="261"/>
      <c r="G422" s="278"/>
      <c r="H422" s="262"/>
      <c r="I422" s="261"/>
      <c r="J422" s="261"/>
      <c r="K422" s="261"/>
      <c r="L422" s="261"/>
      <c r="M422" s="261"/>
      <c r="N422" s="263">
        <f>SUM(N423:N430)</f>
        <v>8839.880000000001</v>
      </c>
      <c r="O422" s="264">
        <f>N422/$N$472</f>
        <v>3.855926679103555E-3</v>
      </c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</row>
    <row r="423" spans="1:36" ht="27.6" x14ac:dyDescent="0.25">
      <c r="A423" s="55"/>
      <c r="B423" s="265" t="s">
        <v>278</v>
      </c>
      <c r="C423" s="266" t="s">
        <v>338</v>
      </c>
      <c r="D423" s="265" t="s">
        <v>40</v>
      </c>
      <c r="E423" s="265" t="s">
        <v>339</v>
      </c>
      <c r="F423" s="267" t="s">
        <v>43</v>
      </c>
      <c r="G423" s="279">
        <v>28</v>
      </c>
      <c r="H423" s="268">
        <v>24.6</v>
      </c>
      <c r="I423" s="268">
        <f>17.67*1.2488</f>
        <v>22.066296000000001</v>
      </c>
      <c r="J423" s="268">
        <f>7.33*1.2488</f>
        <v>9.1537039999999994</v>
      </c>
      <c r="K423" s="268">
        <f t="shared" ref="K423:K430" si="221">I423+J423</f>
        <v>31.22</v>
      </c>
      <c r="L423" s="268">
        <f t="shared" ref="L423:L430" si="222">G423*I423</f>
        <v>617.85628800000006</v>
      </c>
      <c r="M423" s="268">
        <f t="shared" ref="M423:M430" si="223">G423*J423</f>
        <v>256.30371199999996</v>
      </c>
      <c r="N423" s="268">
        <f t="shared" ref="N423" si="224">L423+M423</f>
        <v>874.16000000000008</v>
      </c>
      <c r="O423" s="269">
        <f t="shared" si="200"/>
        <v>3.813057265262836E-4</v>
      </c>
      <c r="P423" s="44"/>
      <c r="Q423" s="49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</row>
    <row r="424" spans="1:36" x14ac:dyDescent="0.25">
      <c r="A424" s="55"/>
      <c r="B424" s="265" t="s">
        <v>281</v>
      </c>
      <c r="C424" s="266" t="s">
        <v>1489</v>
      </c>
      <c r="D424" s="265" t="s">
        <v>200</v>
      </c>
      <c r="E424" s="265" t="s">
        <v>1490</v>
      </c>
      <c r="F424" s="267" t="s">
        <v>43</v>
      </c>
      <c r="G424" s="279">
        <v>4</v>
      </c>
      <c r="H424" s="268">
        <v>75.89</v>
      </c>
      <c r="I424" s="268">
        <f>21.07*1.2488</f>
        <v>26.312215999999999</v>
      </c>
      <c r="J424" s="268">
        <f>54.82*1.2488</f>
        <v>68.459215999999998</v>
      </c>
      <c r="K424" s="268">
        <f t="shared" si="221"/>
        <v>94.771432000000004</v>
      </c>
      <c r="L424" s="268">
        <f t="shared" si="222"/>
        <v>105.248864</v>
      </c>
      <c r="M424" s="268">
        <f t="shared" si="223"/>
        <v>273.83686399999999</v>
      </c>
      <c r="N424" s="268">
        <v>379.08</v>
      </c>
      <c r="O424" s="269">
        <f t="shared" si="200"/>
        <v>1.6535345338563142E-4</v>
      </c>
      <c r="P424" s="44"/>
      <c r="Q424" s="49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</row>
    <row r="425" spans="1:36" x14ac:dyDescent="0.25">
      <c r="A425" s="55"/>
      <c r="B425" s="265" t="s">
        <v>1235</v>
      </c>
      <c r="C425" s="266" t="s">
        <v>294</v>
      </c>
      <c r="D425" s="265" t="s">
        <v>40</v>
      </c>
      <c r="E425" s="265" t="s">
        <v>295</v>
      </c>
      <c r="F425" s="267" t="s">
        <v>43</v>
      </c>
      <c r="G425" s="279">
        <v>18</v>
      </c>
      <c r="H425" s="268">
        <v>50.52</v>
      </c>
      <c r="I425" s="268">
        <f>12.08*1.2488</f>
        <v>15.085503999999998</v>
      </c>
      <c r="J425" s="268">
        <f>38.44*1.2488</f>
        <v>48.003871999999994</v>
      </c>
      <c r="K425" s="268">
        <f t="shared" si="221"/>
        <v>63.089375999999994</v>
      </c>
      <c r="L425" s="268">
        <f t="shared" si="222"/>
        <v>271.53907199999998</v>
      </c>
      <c r="M425" s="268">
        <f t="shared" si="223"/>
        <v>864.06969599999991</v>
      </c>
      <c r="N425" s="268">
        <v>1135.6199999999999</v>
      </c>
      <c r="O425" s="269">
        <f t="shared" si="200"/>
        <v>4.9535372146721206E-4</v>
      </c>
      <c r="P425" s="44"/>
      <c r="Q425" s="49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</row>
    <row r="426" spans="1:36" ht="27.6" x14ac:dyDescent="0.25">
      <c r="A426" s="55"/>
      <c r="B426" s="265" t="s">
        <v>1236</v>
      </c>
      <c r="C426" s="266" t="s">
        <v>720</v>
      </c>
      <c r="D426" s="265" t="s">
        <v>40</v>
      </c>
      <c r="E426" s="265" t="s">
        <v>721</v>
      </c>
      <c r="F426" s="267" t="s">
        <v>54</v>
      </c>
      <c r="G426" s="279">
        <v>82</v>
      </c>
      <c r="H426" s="268">
        <v>27.62</v>
      </c>
      <c r="I426" s="268">
        <f>13.5*1.2488</f>
        <v>16.858799999999999</v>
      </c>
      <c r="J426" s="268">
        <f>14.12*1.2488</f>
        <v>17.633055999999996</v>
      </c>
      <c r="K426" s="268">
        <f t="shared" si="221"/>
        <v>34.491855999999999</v>
      </c>
      <c r="L426" s="268">
        <f t="shared" si="222"/>
        <v>1382.4215999999999</v>
      </c>
      <c r="M426" s="268">
        <f t="shared" si="223"/>
        <v>1445.9105919999997</v>
      </c>
      <c r="N426" s="268">
        <v>2828.18</v>
      </c>
      <c r="O426" s="269">
        <f t="shared" si="200"/>
        <v>1.2336428452996071E-3</v>
      </c>
      <c r="P426" s="44"/>
      <c r="Q426" s="49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</row>
    <row r="427" spans="1:36" ht="27.6" x14ac:dyDescent="0.25">
      <c r="A427" s="55"/>
      <c r="B427" s="265" t="s">
        <v>1237</v>
      </c>
      <c r="C427" s="266" t="s">
        <v>722</v>
      </c>
      <c r="D427" s="265" t="s">
        <v>40</v>
      </c>
      <c r="E427" s="265" t="s">
        <v>723</v>
      </c>
      <c r="F427" s="267" t="s">
        <v>54</v>
      </c>
      <c r="G427" s="279">
        <v>55.7</v>
      </c>
      <c r="H427" s="268">
        <v>23.07</v>
      </c>
      <c r="I427" s="268">
        <f>12.7*1.2488</f>
        <v>15.859759999999998</v>
      </c>
      <c r="J427" s="268">
        <f>10.37*1.2488</f>
        <v>12.950055999999998</v>
      </c>
      <c r="K427" s="268">
        <f t="shared" si="221"/>
        <v>28.809815999999998</v>
      </c>
      <c r="L427" s="268">
        <f t="shared" si="222"/>
        <v>883.38863199999992</v>
      </c>
      <c r="M427" s="268">
        <f t="shared" si="223"/>
        <v>721.31811919999996</v>
      </c>
      <c r="N427" s="268">
        <v>1604.72</v>
      </c>
      <c r="O427" s="269">
        <f t="shared" si="200"/>
        <v>6.9997360376962772E-4</v>
      </c>
      <c r="P427" s="44"/>
      <c r="Q427" s="49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</row>
    <row r="428" spans="1:36" ht="27.6" x14ac:dyDescent="0.25">
      <c r="A428" s="55"/>
      <c r="B428" s="265" t="s">
        <v>1238</v>
      </c>
      <c r="C428" s="266" t="s">
        <v>726</v>
      </c>
      <c r="D428" s="265" t="s">
        <v>40</v>
      </c>
      <c r="E428" s="265" t="s">
        <v>727</v>
      </c>
      <c r="F428" s="267" t="s">
        <v>54</v>
      </c>
      <c r="G428" s="279">
        <v>44.8</v>
      </c>
      <c r="H428" s="268">
        <v>21.28</v>
      </c>
      <c r="I428" s="268">
        <f>9.51*1.2488</f>
        <v>11.876087999999999</v>
      </c>
      <c r="J428" s="268">
        <f>11.77*1.2488</f>
        <v>14.698375999999998</v>
      </c>
      <c r="K428" s="268">
        <f t="shared" si="221"/>
        <v>26.574463999999999</v>
      </c>
      <c r="L428" s="268">
        <f t="shared" si="222"/>
        <v>532.04874239999992</v>
      </c>
      <c r="M428" s="268">
        <f t="shared" si="223"/>
        <v>658.48724479999987</v>
      </c>
      <c r="N428" s="268">
        <v>1190.3399999999999</v>
      </c>
      <c r="O428" s="269">
        <f t="shared" si="200"/>
        <v>5.1922240609647704E-4</v>
      </c>
      <c r="P428" s="44"/>
      <c r="Q428" s="49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</row>
    <row r="429" spans="1:36" ht="27.6" x14ac:dyDescent="0.25">
      <c r="A429" s="55"/>
      <c r="B429" s="265" t="s">
        <v>1239</v>
      </c>
      <c r="C429" s="266" t="s">
        <v>728</v>
      </c>
      <c r="D429" s="265" t="s">
        <v>40</v>
      </c>
      <c r="E429" s="265" t="s">
        <v>729</v>
      </c>
      <c r="F429" s="267" t="s">
        <v>54</v>
      </c>
      <c r="G429" s="279">
        <v>16</v>
      </c>
      <c r="H429" s="268">
        <v>27.33</v>
      </c>
      <c r="I429" s="268">
        <f>7.55*1.2488</f>
        <v>9.4284399999999984</v>
      </c>
      <c r="J429" s="268">
        <f>19.78*1.2488</f>
        <v>24.701263999999998</v>
      </c>
      <c r="K429" s="268">
        <f t="shared" si="221"/>
        <v>34.129703999999997</v>
      </c>
      <c r="L429" s="268">
        <f t="shared" si="222"/>
        <v>150.85503999999997</v>
      </c>
      <c r="M429" s="268">
        <f t="shared" si="223"/>
        <v>395.22022399999997</v>
      </c>
      <c r="N429" s="268">
        <v>546.08000000000004</v>
      </c>
      <c r="O429" s="269">
        <f t="shared" si="200"/>
        <v>2.3819830596398021E-4</v>
      </c>
      <c r="P429" s="44"/>
      <c r="Q429" s="49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</row>
    <row r="430" spans="1:36" x14ac:dyDescent="0.25">
      <c r="A430" s="55"/>
      <c r="B430" s="265" t="s">
        <v>1240</v>
      </c>
      <c r="C430" s="266" t="s">
        <v>750</v>
      </c>
      <c r="D430" s="265" t="s">
        <v>200</v>
      </c>
      <c r="E430" s="265" t="s">
        <v>795</v>
      </c>
      <c r="F430" s="267" t="s">
        <v>394</v>
      </c>
      <c r="G430" s="279">
        <v>10</v>
      </c>
      <c r="H430" s="268">
        <v>22.56</v>
      </c>
      <c r="I430" s="268">
        <f>10.54*1.2488</f>
        <v>13.162351999999998</v>
      </c>
      <c r="J430" s="268">
        <f>12.02*1.2488</f>
        <v>15.010575999999999</v>
      </c>
      <c r="K430" s="268">
        <f t="shared" si="221"/>
        <v>28.172927999999999</v>
      </c>
      <c r="L430" s="268">
        <f t="shared" si="222"/>
        <v>131.62351999999998</v>
      </c>
      <c r="M430" s="268">
        <f t="shared" si="223"/>
        <v>150.10575999999998</v>
      </c>
      <c r="N430" s="268">
        <v>281.7</v>
      </c>
      <c r="O430" s="269">
        <f t="shared" si="200"/>
        <v>1.2287661659473559E-4</v>
      </c>
      <c r="P430" s="44"/>
      <c r="Q430" s="49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</row>
    <row r="431" spans="1:36" ht="13.8" x14ac:dyDescent="0.25">
      <c r="A431" s="55"/>
      <c r="B431" s="261">
        <v>19</v>
      </c>
      <c r="C431" s="261"/>
      <c r="D431" s="261"/>
      <c r="E431" s="261" t="s">
        <v>296</v>
      </c>
      <c r="F431" s="261"/>
      <c r="G431" s="278"/>
      <c r="H431" s="262"/>
      <c r="I431" s="261"/>
      <c r="J431" s="261"/>
      <c r="K431" s="261"/>
      <c r="L431" s="261"/>
      <c r="M431" s="261"/>
      <c r="N431" s="263">
        <f>SUM(N432:N442)</f>
        <v>20195.985400000001</v>
      </c>
      <c r="O431" s="264">
        <f>N431/$N$472</f>
        <v>8.8094226295657736E-3</v>
      </c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</row>
    <row r="432" spans="1:36" ht="27.6" x14ac:dyDescent="0.25">
      <c r="A432" s="55"/>
      <c r="B432" s="265" t="s">
        <v>282</v>
      </c>
      <c r="C432" s="266" t="s">
        <v>297</v>
      </c>
      <c r="D432" s="265" t="s">
        <v>40</v>
      </c>
      <c r="E432" s="265" t="s">
        <v>298</v>
      </c>
      <c r="F432" s="267" t="s">
        <v>54</v>
      </c>
      <c r="G432" s="279">
        <v>100</v>
      </c>
      <c r="H432" s="268">
        <v>68</v>
      </c>
      <c r="I432" s="268">
        <f>15.29*1.2488</f>
        <v>19.094151999999998</v>
      </c>
      <c r="J432" s="268">
        <f>83.99*1.2488</f>
        <v>104.88671199999999</v>
      </c>
      <c r="K432" s="268">
        <f t="shared" ref="K432:K435" si="225">I432+J432</f>
        <v>123.98086399999998</v>
      </c>
      <c r="L432" s="268">
        <f t="shared" ref="L432:L435" si="226">G432*I432</f>
        <v>1909.4151999999997</v>
      </c>
      <c r="M432" s="268">
        <f t="shared" ref="M432:M435" si="227">G432*J432</f>
        <v>10488.671199999999</v>
      </c>
      <c r="N432" s="268">
        <v>12398</v>
      </c>
      <c r="O432" s="269">
        <f t="shared" si="200"/>
        <v>5.4079669596788496E-3</v>
      </c>
      <c r="P432" s="44"/>
      <c r="Q432" s="49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</row>
    <row r="433" spans="1:36" ht="27.6" x14ac:dyDescent="0.25">
      <c r="A433" s="55"/>
      <c r="B433" s="265" t="s">
        <v>283</v>
      </c>
      <c r="C433" s="266" t="s">
        <v>299</v>
      </c>
      <c r="D433" s="265" t="s">
        <v>40</v>
      </c>
      <c r="E433" s="265" t="s">
        <v>300</v>
      </c>
      <c r="F433" s="267" t="s">
        <v>43</v>
      </c>
      <c r="G433" s="279">
        <v>10</v>
      </c>
      <c r="H433" s="268">
        <v>29.24</v>
      </c>
      <c r="I433" s="268">
        <f>16.06*1.2488</f>
        <v>20.055727999999998</v>
      </c>
      <c r="J433" s="268">
        <f>13.18*1.2488</f>
        <v>16.459183999999997</v>
      </c>
      <c r="K433" s="268">
        <f t="shared" si="225"/>
        <v>36.514911999999995</v>
      </c>
      <c r="L433" s="268">
        <f t="shared" si="226"/>
        <v>200.55727999999999</v>
      </c>
      <c r="M433" s="268">
        <f t="shared" si="227"/>
        <v>164.59183999999996</v>
      </c>
      <c r="N433" s="268">
        <v>365.1</v>
      </c>
      <c r="O433" s="269">
        <f t="shared" si="200"/>
        <v>1.592554232117074E-4</v>
      </c>
      <c r="P433" s="44"/>
      <c r="Q433" s="49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</row>
    <row r="434" spans="1:36" ht="27.6" x14ac:dyDescent="0.25">
      <c r="A434" s="55"/>
      <c r="B434" s="265" t="s">
        <v>1116</v>
      </c>
      <c r="C434" s="266" t="s">
        <v>303</v>
      </c>
      <c r="D434" s="265" t="s">
        <v>40</v>
      </c>
      <c r="E434" s="265" t="s">
        <v>304</v>
      </c>
      <c r="F434" s="267" t="s">
        <v>43</v>
      </c>
      <c r="G434" s="279">
        <v>50</v>
      </c>
      <c r="H434" s="268">
        <v>21.69</v>
      </c>
      <c r="I434" s="268">
        <f>12.05*1.2488</f>
        <v>15.04804</v>
      </c>
      <c r="J434" s="268">
        <f>9.64*1.2488</f>
        <v>12.038432</v>
      </c>
      <c r="K434" s="268">
        <f t="shared" si="225"/>
        <v>27.086472000000001</v>
      </c>
      <c r="L434" s="268">
        <f t="shared" si="226"/>
        <v>752.40200000000004</v>
      </c>
      <c r="M434" s="268">
        <f t="shared" si="227"/>
        <v>601.92160000000001</v>
      </c>
      <c r="N434" s="268">
        <v>1354.5</v>
      </c>
      <c r="O434" s="269">
        <f t="shared" si="200"/>
        <v>5.9082845998427187E-4</v>
      </c>
      <c r="P434" s="44"/>
      <c r="Q434" s="49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</row>
    <row r="435" spans="1:36" ht="27.6" x14ac:dyDescent="0.25">
      <c r="A435" s="55"/>
      <c r="B435" s="265" t="s">
        <v>1117</v>
      </c>
      <c r="C435" s="266" t="s">
        <v>301</v>
      </c>
      <c r="D435" s="265" t="s">
        <v>40</v>
      </c>
      <c r="E435" s="265" t="s">
        <v>302</v>
      </c>
      <c r="F435" s="267" t="s">
        <v>43</v>
      </c>
      <c r="G435" s="279">
        <v>10</v>
      </c>
      <c r="H435" s="268">
        <v>14.24</v>
      </c>
      <c r="I435" s="268">
        <f>8.05*1.2488</f>
        <v>10.05284</v>
      </c>
      <c r="J435" s="268">
        <f>6.19*1.2488</f>
        <v>7.7300719999999998</v>
      </c>
      <c r="K435" s="268">
        <f t="shared" si="225"/>
        <v>17.782912</v>
      </c>
      <c r="L435" s="268">
        <f t="shared" si="226"/>
        <v>100.5284</v>
      </c>
      <c r="M435" s="268">
        <f t="shared" si="227"/>
        <v>77.300719999999998</v>
      </c>
      <c r="N435" s="268">
        <v>177.8</v>
      </c>
      <c r="O435" s="269">
        <f t="shared" si="200"/>
        <v>7.755577717623E-5</v>
      </c>
      <c r="P435" s="44"/>
      <c r="Q435" s="49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</row>
    <row r="436" spans="1:36" x14ac:dyDescent="0.25">
      <c r="A436" s="55"/>
      <c r="B436" s="265" t="s">
        <v>1118</v>
      </c>
      <c r="C436" s="266" t="s">
        <v>1732</v>
      </c>
      <c r="D436" s="265" t="s">
        <v>1546</v>
      </c>
      <c r="E436" s="265" t="s">
        <v>1427</v>
      </c>
      <c r="F436" s="267" t="s">
        <v>43</v>
      </c>
      <c r="G436" s="279">
        <v>8</v>
      </c>
      <c r="H436" s="268">
        <f>CPUS!L167</f>
        <v>113.5425</v>
      </c>
      <c r="I436" s="268">
        <f>CPUS!L164*1.2488</f>
        <v>13.502649999999999</v>
      </c>
      <c r="J436" s="268">
        <f>CPUS!L166*1.2488</f>
        <v>128.28922399999999</v>
      </c>
      <c r="K436" s="268">
        <f t="shared" ref="K436:K438" si="228">I436+J436</f>
        <v>141.79187399999998</v>
      </c>
      <c r="L436" s="268">
        <f t="shared" ref="L436:L438" si="229">G436*I436</f>
        <v>108.02119999999999</v>
      </c>
      <c r="M436" s="268">
        <f t="shared" ref="M436:M438" si="230">G436*J436</f>
        <v>1026.3137919999999</v>
      </c>
      <c r="N436" s="268">
        <v>1134.32</v>
      </c>
      <c r="O436" s="269">
        <f t="shared" si="200"/>
        <v>4.9478666572857826E-4</v>
      </c>
      <c r="P436" s="44"/>
      <c r="Q436" s="49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</row>
    <row r="437" spans="1:36" ht="27.6" x14ac:dyDescent="0.25">
      <c r="A437" s="55"/>
      <c r="B437" s="265" t="s">
        <v>1119</v>
      </c>
      <c r="C437" s="266" t="s">
        <v>1122</v>
      </c>
      <c r="D437" s="265" t="s">
        <v>144</v>
      </c>
      <c r="E437" s="265" t="s">
        <v>1123</v>
      </c>
      <c r="F437" s="267" t="s">
        <v>165</v>
      </c>
      <c r="G437" s="279">
        <v>1</v>
      </c>
      <c r="H437" s="268">
        <v>1309.6400000000001</v>
      </c>
      <c r="I437" s="268">
        <f>13.67*1.2488</f>
        <v>17.071095999999997</v>
      </c>
      <c r="J437" s="268">
        <f>1295.97*1.2488</f>
        <v>1618.407336</v>
      </c>
      <c r="K437" s="268">
        <f t="shared" si="228"/>
        <v>1635.4784319999999</v>
      </c>
      <c r="L437" s="268">
        <f t="shared" si="229"/>
        <v>17.071095999999997</v>
      </c>
      <c r="M437" s="268">
        <f t="shared" si="230"/>
        <v>1618.407336</v>
      </c>
      <c r="N437" s="268">
        <f t="shared" ref="N437:N438" si="231">L437+M437</f>
        <v>1635.4784319999999</v>
      </c>
      <c r="O437" s="269">
        <f t="shared" si="200"/>
        <v>7.1339033098268847E-4</v>
      </c>
      <c r="P437" s="44"/>
      <c r="Q437" s="49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</row>
    <row r="438" spans="1:36" ht="27.6" x14ac:dyDescent="0.25">
      <c r="A438" s="55"/>
      <c r="B438" s="265" t="s">
        <v>1120</v>
      </c>
      <c r="C438" s="266" t="s">
        <v>890</v>
      </c>
      <c r="D438" s="265" t="s">
        <v>144</v>
      </c>
      <c r="E438" s="265" t="s">
        <v>891</v>
      </c>
      <c r="F438" s="267" t="s">
        <v>165</v>
      </c>
      <c r="G438" s="279">
        <v>1</v>
      </c>
      <c r="H438" s="268">
        <v>867.11</v>
      </c>
      <c r="I438" s="268">
        <f>10.24*1.2488</f>
        <v>12.787711999999999</v>
      </c>
      <c r="J438" s="268">
        <f>856.87*1.2488</f>
        <v>1070.059256</v>
      </c>
      <c r="K438" s="268">
        <f t="shared" si="228"/>
        <v>1082.8469680000001</v>
      </c>
      <c r="L438" s="268">
        <f t="shared" si="229"/>
        <v>12.787711999999999</v>
      </c>
      <c r="M438" s="268">
        <f t="shared" si="230"/>
        <v>1070.059256</v>
      </c>
      <c r="N438" s="268">
        <f t="shared" si="231"/>
        <v>1082.8469680000001</v>
      </c>
      <c r="O438" s="269">
        <f t="shared" si="200"/>
        <v>4.7233429789743679E-4</v>
      </c>
      <c r="P438" s="44"/>
      <c r="Q438" s="49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</row>
    <row r="439" spans="1:36" ht="27.6" x14ac:dyDescent="0.25">
      <c r="A439" s="55"/>
      <c r="B439" s="265" t="s">
        <v>1121</v>
      </c>
      <c r="C439" s="266" t="s">
        <v>751</v>
      </c>
      <c r="D439" s="265" t="s">
        <v>40</v>
      </c>
      <c r="E439" s="265" t="s">
        <v>1107</v>
      </c>
      <c r="F439" s="267" t="s">
        <v>54</v>
      </c>
      <c r="G439" s="279">
        <v>6</v>
      </c>
      <c r="H439" s="268">
        <v>67.59</v>
      </c>
      <c r="I439" s="268">
        <f>3.35*1.2488</f>
        <v>4.1834799999999994</v>
      </c>
      <c r="J439" s="268">
        <f>64.24*1.2488</f>
        <v>80.222911999999994</v>
      </c>
      <c r="K439" s="268">
        <f t="shared" ref="K439" si="232">I439+J439</f>
        <v>84.406391999999997</v>
      </c>
      <c r="L439" s="268">
        <f t="shared" ref="L439" si="233">G439*I439</f>
        <v>25.100879999999997</v>
      </c>
      <c r="M439" s="268">
        <f t="shared" ref="M439" si="234">G439*J439</f>
        <v>481.33747199999993</v>
      </c>
      <c r="N439" s="268">
        <v>506.46</v>
      </c>
      <c r="O439" s="269">
        <f t="shared" si="200"/>
        <v>2.2091619183730845E-4</v>
      </c>
      <c r="P439" s="44"/>
      <c r="Q439" s="49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</row>
    <row r="440" spans="1:36" x14ac:dyDescent="0.25">
      <c r="A440" s="55"/>
      <c r="B440" s="265" t="s">
        <v>1241</v>
      </c>
      <c r="C440" s="266" t="s">
        <v>752</v>
      </c>
      <c r="D440" s="265" t="s">
        <v>144</v>
      </c>
      <c r="E440" s="265" t="s">
        <v>753</v>
      </c>
      <c r="F440" s="267" t="s">
        <v>240</v>
      </c>
      <c r="G440" s="279">
        <v>4</v>
      </c>
      <c r="H440" s="268">
        <v>24.77</v>
      </c>
      <c r="I440" s="268">
        <f>5.95*1.2488</f>
        <v>7.4303599999999994</v>
      </c>
      <c r="J440" s="268">
        <f>18.82*1.2488</f>
        <v>23.502416</v>
      </c>
      <c r="K440" s="268">
        <f t="shared" ref="K440" si="235">I440+J440</f>
        <v>30.932776</v>
      </c>
      <c r="L440" s="268">
        <f t="shared" ref="L440" si="236">G440*I440</f>
        <v>29.721439999999998</v>
      </c>
      <c r="M440" s="268">
        <f t="shared" ref="M440" si="237">G440*J440</f>
        <v>94.009664000000001</v>
      </c>
      <c r="N440" s="268">
        <v>123.72</v>
      </c>
      <c r="O440" s="269">
        <f t="shared" ref="O440:O472" si="238">N440/$N$472</f>
        <v>5.3966258449061731E-5</v>
      </c>
      <c r="P440" s="44"/>
      <c r="Q440" s="49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</row>
    <row r="441" spans="1:36" ht="27.6" x14ac:dyDescent="0.25">
      <c r="A441" s="55"/>
      <c r="B441" s="265" t="s">
        <v>1242</v>
      </c>
      <c r="C441" s="266" t="s">
        <v>754</v>
      </c>
      <c r="D441" s="265" t="s">
        <v>40</v>
      </c>
      <c r="E441" s="265" t="s">
        <v>755</v>
      </c>
      <c r="F441" s="267" t="s">
        <v>43</v>
      </c>
      <c r="G441" s="279">
        <v>8</v>
      </c>
      <c r="H441" s="268">
        <v>43.7</v>
      </c>
      <c r="I441" s="268">
        <f>17.04*1.2488</f>
        <v>21.279551999999999</v>
      </c>
      <c r="J441" s="268">
        <f>26.66*1.2488</f>
        <v>33.293008</v>
      </c>
      <c r="K441" s="268">
        <f t="shared" ref="K441:K442" si="239">I441+J441</f>
        <v>54.572559999999996</v>
      </c>
      <c r="L441" s="268">
        <f t="shared" ref="L441:L442" si="240">G441*I441</f>
        <v>170.23641599999999</v>
      </c>
      <c r="M441" s="268">
        <f t="shared" ref="M441:M442" si="241">G441*J441</f>
        <v>266.344064</v>
      </c>
      <c r="N441" s="268">
        <v>436.56</v>
      </c>
      <c r="O441" s="269">
        <f t="shared" si="238"/>
        <v>1.9042604096768825E-4</v>
      </c>
      <c r="P441" s="44"/>
      <c r="Q441" s="49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</row>
    <row r="442" spans="1:36" ht="41.4" x14ac:dyDescent="0.25">
      <c r="A442" s="55"/>
      <c r="B442" s="265" t="s">
        <v>1428</v>
      </c>
      <c r="C442" s="266" t="s">
        <v>756</v>
      </c>
      <c r="D442" s="265" t="s">
        <v>40</v>
      </c>
      <c r="E442" s="265" t="s">
        <v>757</v>
      </c>
      <c r="F442" s="267" t="s">
        <v>54</v>
      </c>
      <c r="G442" s="279">
        <v>40</v>
      </c>
      <c r="H442" s="268">
        <v>19.64</v>
      </c>
      <c r="I442" s="268">
        <f>9.63*1.2488</f>
        <v>12.025944000000001</v>
      </c>
      <c r="J442" s="268">
        <f>10.01*1.2488</f>
        <v>12.500487999999999</v>
      </c>
      <c r="K442" s="268">
        <f t="shared" si="239"/>
        <v>24.526432</v>
      </c>
      <c r="L442" s="268">
        <f t="shared" si="240"/>
        <v>481.03776000000005</v>
      </c>
      <c r="M442" s="268">
        <f t="shared" si="241"/>
        <v>500.01951999999994</v>
      </c>
      <c r="N442" s="268">
        <v>981.2</v>
      </c>
      <c r="O442" s="269">
        <f t="shared" si="238"/>
        <v>4.2799622365195095E-4</v>
      </c>
      <c r="P442" s="44"/>
      <c r="Q442" s="49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</row>
    <row r="443" spans="1:36" ht="13.95" customHeight="1" x14ac:dyDescent="0.25">
      <c r="A443" s="55"/>
      <c r="B443" s="261">
        <v>20</v>
      </c>
      <c r="C443" s="261"/>
      <c r="D443" s="261"/>
      <c r="E443" s="261" t="s">
        <v>758</v>
      </c>
      <c r="F443" s="261"/>
      <c r="G443" s="278"/>
      <c r="H443" s="262"/>
      <c r="I443" s="261"/>
      <c r="J443" s="261"/>
      <c r="K443" s="261"/>
      <c r="L443" s="261"/>
      <c r="M443" s="261"/>
      <c r="N443" s="263">
        <f>N444+N446+N448</f>
        <v>12127.869999999999</v>
      </c>
      <c r="O443" s="264">
        <f>N443/$N$472</f>
        <v>5.2901371391579554E-3</v>
      </c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</row>
    <row r="444" spans="1:36" ht="13.8" x14ac:dyDescent="0.25">
      <c r="A444" s="55"/>
      <c r="B444" s="261" t="s">
        <v>284</v>
      </c>
      <c r="C444" s="261"/>
      <c r="D444" s="261"/>
      <c r="E444" s="261" t="s">
        <v>796</v>
      </c>
      <c r="F444" s="261"/>
      <c r="G444" s="278"/>
      <c r="H444" s="262"/>
      <c r="I444" s="261"/>
      <c r="J444" s="261"/>
      <c r="K444" s="261"/>
      <c r="L444" s="261"/>
      <c r="M444" s="261"/>
      <c r="N444" s="263">
        <f>SUM(N445)</f>
        <v>3289.61</v>
      </c>
      <c r="O444" s="264">
        <f>N444/$N$472</f>
        <v>1.4349170987440832E-3</v>
      </c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</row>
    <row r="445" spans="1:36" ht="27.6" customHeight="1" x14ac:dyDescent="0.25">
      <c r="A445" s="55"/>
      <c r="B445" s="265" t="s">
        <v>1243</v>
      </c>
      <c r="C445" s="266" t="s">
        <v>759</v>
      </c>
      <c r="D445" s="265" t="s">
        <v>40</v>
      </c>
      <c r="E445" s="265" t="s">
        <v>1124</v>
      </c>
      <c r="F445" s="267" t="s">
        <v>41</v>
      </c>
      <c r="G445" s="279">
        <v>14.59</v>
      </c>
      <c r="H445" s="268">
        <v>180.55</v>
      </c>
      <c r="I445" s="268">
        <f>42.95*1.2488</f>
        <v>53.635959999999997</v>
      </c>
      <c r="J445" s="268">
        <f>137.6*1.2488</f>
        <v>171.83487999999997</v>
      </c>
      <c r="K445" s="268">
        <f t="shared" ref="K445" si="242">I445+J445</f>
        <v>225.47083999999995</v>
      </c>
      <c r="L445" s="268">
        <f t="shared" ref="L445" si="243">G445*I445</f>
        <v>782.54865639999991</v>
      </c>
      <c r="M445" s="268">
        <f t="shared" ref="M445" si="244">G445*J445</f>
        <v>2507.0708991999995</v>
      </c>
      <c r="N445" s="268">
        <v>3289.61</v>
      </c>
      <c r="O445" s="269">
        <f t="shared" si="238"/>
        <v>1.4349170987440832E-3</v>
      </c>
      <c r="P445" s="44"/>
      <c r="Q445" s="49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</row>
    <row r="446" spans="1:36" ht="13.8" x14ac:dyDescent="0.25">
      <c r="A446" s="55"/>
      <c r="B446" s="261" t="s">
        <v>287</v>
      </c>
      <c r="C446" s="261"/>
      <c r="D446" s="261"/>
      <c r="E446" s="261" t="s">
        <v>288</v>
      </c>
      <c r="F446" s="261"/>
      <c r="G446" s="278"/>
      <c r="H446" s="262"/>
      <c r="I446" s="261"/>
      <c r="J446" s="261"/>
      <c r="K446" s="261"/>
      <c r="L446" s="261"/>
      <c r="M446" s="261"/>
      <c r="N446" s="263">
        <f>SUM(N447)</f>
        <v>1977.81</v>
      </c>
      <c r="O446" s="264">
        <f>N446/$N$472</f>
        <v>8.6271423879032312E-4</v>
      </c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</row>
    <row r="447" spans="1:36" x14ac:dyDescent="0.25">
      <c r="A447" s="55"/>
      <c r="B447" s="265" t="s">
        <v>1244</v>
      </c>
      <c r="C447" s="266" t="s">
        <v>290</v>
      </c>
      <c r="D447" s="265" t="s">
        <v>40</v>
      </c>
      <c r="E447" s="265" t="s">
        <v>291</v>
      </c>
      <c r="F447" s="267" t="s">
        <v>41</v>
      </c>
      <c r="G447" s="279">
        <v>72.66</v>
      </c>
      <c r="H447" s="268">
        <v>21.8</v>
      </c>
      <c r="I447" s="268">
        <f>3.5*1.2488</f>
        <v>4.3708</v>
      </c>
      <c r="J447" s="268">
        <f>18.3*1.2488</f>
        <v>22.85304</v>
      </c>
      <c r="K447" s="268">
        <f t="shared" ref="K447" si="245">I447+J447</f>
        <v>27.223839999999999</v>
      </c>
      <c r="L447" s="268">
        <f t="shared" ref="L447" si="246">G447*I447</f>
        <v>317.58232799999996</v>
      </c>
      <c r="M447" s="268">
        <f t="shared" ref="M447" si="247">G447*J447</f>
        <v>1660.5018863999999</v>
      </c>
      <c r="N447" s="268">
        <v>1977.81</v>
      </c>
      <c r="O447" s="269">
        <f t="shared" si="238"/>
        <v>8.6271423879032312E-4</v>
      </c>
      <c r="P447" s="44"/>
      <c r="Q447" s="49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</row>
    <row r="448" spans="1:36" ht="13.8" x14ac:dyDescent="0.25">
      <c r="A448" s="55"/>
      <c r="B448" s="261" t="s">
        <v>807</v>
      </c>
      <c r="C448" s="261"/>
      <c r="D448" s="261"/>
      <c r="E448" s="261" t="s">
        <v>760</v>
      </c>
      <c r="F448" s="261"/>
      <c r="G448" s="278"/>
      <c r="H448" s="262"/>
      <c r="I448" s="261"/>
      <c r="J448" s="261"/>
      <c r="K448" s="261"/>
      <c r="L448" s="261"/>
      <c r="M448" s="261"/>
      <c r="N448" s="263">
        <f>SUM(N449)</f>
        <v>6860.45</v>
      </c>
      <c r="O448" s="264">
        <f>N448/$N$472</f>
        <v>2.9925058016235496E-3</v>
      </c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</row>
    <row r="449" spans="1:36" x14ac:dyDescent="0.25">
      <c r="A449" s="55"/>
      <c r="B449" s="265" t="s">
        <v>1245</v>
      </c>
      <c r="C449" s="266" t="s">
        <v>285</v>
      </c>
      <c r="D449" s="265" t="s">
        <v>144</v>
      </c>
      <c r="E449" s="265" t="s">
        <v>286</v>
      </c>
      <c r="F449" s="267" t="s">
        <v>41</v>
      </c>
      <c r="G449" s="279">
        <f>0.3*10*0.2</f>
        <v>0.60000000000000009</v>
      </c>
      <c r="H449" s="268">
        <v>9156.06</v>
      </c>
      <c r="I449" s="268">
        <f>95.04*1.2488</f>
        <v>118.685952</v>
      </c>
      <c r="J449" s="268">
        <f>9061.02*1.2488</f>
        <v>11315.401776000001</v>
      </c>
      <c r="K449" s="268">
        <f t="shared" ref="K449" si="248">I449+J449</f>
        <v>11434.087728</v>
      </c>
      <c r="L449" s="268">
        <f t="shared" ref="L449" si="249">G449*I449</f>
        <v>71.211571200000009</v>
      </c>
      <c r="M449" s="268">
        <f t="shared" ref="M449" si="250">G449*J449</f>
        <v>6789.2410656000011</v>
      </c>
      <c r="N449" s="268">
        <v>6860.45</v>
      </c>
      <c r="O449" s="269">
        <f t="shared" si="238"/>
        <v>2.9925058016235496E-3</v>
      </c>
      <c r="P449" s="44"/>
      <c r="Q449" s="49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</row>
    <row r="450" spans="1:36" ht="13.8" x14ac:dyDescent="0.25">
      <c r="A450" s="55"/>
      <c r="B450" s="261">
        <v>21</v>
      </c>
      <c r="C450" s="261"/>
      <c r="D450" s="261"/>
      <c r="E450" s="261" t="s">
        <v>761</v>
      </c>
      <c r="F450" s="261"/>
      <c r="G450" s="278"/>
      <c r="H450" s="262"/>
      <c r="I450" s="261"/>
      <c r="J450" s="261"/>
      <c r="K450" s="261"/>
      <c r="L450" s="261"/>
      <c r="M450" s="261"/>
      <c r="N450" s="263">
        <f>SUM(N451:N471)</f>
        <v>146833.81000000006</v>
      </c>
      <c r="O450" s="264">
        <f>N450/$N$472</f>
        <v>6.4048426604594463E-2</v>
      </c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</row>
    <row r="451" spans="1:36" ht="15.75" customHeight="1" x14ac:dyDescent="0.25">
      <c r="A451" s="44"/>
      <c r="B451" s="265" t="s">
        <v>289</v>
      </c>
      <c r="C451" s="266" t="s">
        <v>1487</v>
      </c>
      <c r="D451" s="265" t="s">
        <v>200</v>
      </c>
      <c r="E451" s="265" t="s">
        <v>1488</v>
      </c>
      <c r="F451" s="267" t="s">
        <v>1662</v>
      </c>
      <c r="G451" s="279">
        <v>389.78</v>
      </c>
      <c r="H451" s="268">
        <v>15</v>
      </c>
      <c r="I451" s="268">
        <f>15*1.2488</f>
        <v>18.731999999999999</v>
      </c>
      <c r="J451" s="268">
        <f>0*1.2488</f>
        <v>0</v>
      </c>
      <c r="K451" s="268">
        <f t="shared" ref="K451" si="251">I451+J451</f>
        <v>18.731999999999999</v>
      </c>
      <c r="L451" s="268">
        <f t="shared" ref="L451" si="252">G451*I451</f>
        <v>7301.3589599999996</v>
      </c>
      <c r="M451" s="268">
        <f t="shared" ref="M451" si="253">G451*J451</f>
        <v>0</v>
      </c>
      <c r="N451" s="268">
        <v>7300.58</v>
      </c>
      <c r="O451" s="269">
        <f t="shared" ref="O451" si="254">N451/$N$472</f>
        <v>3.1844890648888707E-3</v>
      </c>
      <c r="P451" s="44"/>
      <c r="Q451" s="49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</row>
    <row r="452" spans="1:36" ht="15.75" customHeight="1" x14ac:dyDescent="0.25">
      <c r="A452" s="44"/>
      <c r="B452" s="265" t="s">
        <v>1685</v>
      </c>
      <c r="C452" s="266" t="s">
        <v>1660</v>
      </c>
      <c r="D452" s="265" t="s">
        <v>200</v>
      </c>
      <c r="E452" s="265" t="s">
        <v>1661</v>
      </c>
      <c r="F452" s="267" t="s">
        <v>1662</v>
      </c>
      <c r="G452" s="279">
        <f>(2*3*2.2)+(1.2*2.2)</f>
        <v>15.840000000000002</v>
      </c>
      <c r="H452" s="268">
        <v>1527.84</v>
      </c>
      <c r="I452" s="268">
        <f>106.09*1.2488</f>
        <v>132.48519199999998</v>
      </c>
      <c r="J452" s="268">
        <f>1421.75*1.2488</f>
        <v>1775.4813999999999</v>
      </c>
      <c r="K452" s="268">
        <f t="shared" ref="K452:K469" si="255">I452+J452</f>
        <v>1907.9665919999998</v>
      </c>
      <c r="L452" s="268">
        <f t="shared" ref="L452:L469" si="256">G452*I452</f>
        <v>2098.56544128</v>
      </c>
      <c r="M452" s="268">
        <f t="shared" ref="M452:M469" si="257">G452*J452</f>
        <v>28123.625376</v>
      </c>
      <c r="N452" s="268">
        <v>30222.240000000002</v>
      </c>
      <c r="O452" s="269">
        <f t="shared" ref="O452:O469" si="258">N452/$N$472</f>
        <v>1.3182842020284283E-2</v>
      </c>
      <c r="P452" s="44"/>
      <c r="Q452" s="49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</row>
    <row r="453" spans="1:36" ht="15.75" customHeight="1" x14ac:dyDescent="0.25">
      <c r="A453" s="44"/>
      <c r="B453" s="265" t="s">
        <v>1686</v>
      </c>
      <c r="C453" s="266" t="s">
        <v>1704</v>
      </c>
      <c r="D453" s="265" t="s">
        <v>200</v>
      </c>
      <c r="E453" s="265" t="s">
        <v>1663</v>
      </c>
      <c r="F453" s="267" t="s">
        <v>1662</v>
      </c>
      <c r="G453" s="279">
        <f>(9.5+39+12.29+33.37-3-3-1.2)*1.8</f>
        <v>156.52799999999999</v>
      </c>
      <c r="H453" s="268">
        <v>240.22</v>
      </c>
      <c r="I453" s="268">
        <f>0*1.2488</f>
        <v>0</v>
      </c>
      <c r="J453" s="268">
        <f>240.22*1.2488</f>
        <v>299.98673599999995</v>
      </c>
      <c r="K453" s="268">
        <f t="shared" si="255"/>
        <v>299.98673599999995</v>
      </c>
      <c r="L453" s="268">
        <f t="shared" si="256"/>
        <v>0</v>
      </c>
      <c r="M453" s="268">
        <f t="shared" si="257"/>
        <v>46956.323812607989</v>
      </c>
      <c r="N453" s="268">
        <v>46957.43</v>
      </c>
      <c r="O453" s="269">
        <f t="shared" si="258"/>
        <v>2.0482677040767255E-2</v>
      </c>
      <c r="P453" s="44"/>
      <c r="Q453" s="49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</row>
    <row r="454" spans="1:36" ht="15.75" customHeight="1" x14ac:dyDescent="0.25">
      <c r="A454" s="44"/>
      <c r="B454" s="265" t="s">
        <v>1687</v>
      </c>
      <c r="C454" s="266" t="s">
        <v>1705</v>
      </c>
      <c r="D454" s="265" t="s">
        <v>200</v>
      </c>
      <c r="E454" s="265" t="s">
        <v>1664</v>
      </c>
      <c r="F454" s="267" t="s">
        <v>54</v>
      </c>
      <c r="G454" s="279">
        <f>(9.5+39+12.29+33.37+22.55+7.17-3-3-1.2)/3*4</f>
        <v>155.57333333333332</v>
      </c>
      <c r="H454" s="268">
        <v>68.62</v>
      </c>
      <c r="I454" s="268">
        <f>50.01*1.2488</f>
        <v>62.452487999999995</v>
      </c>
      <c r="J454" s="268">
        <f>18.61*1.2488</f>
        <v>23.240167999999997</v>
      </c>
      <c r="K454" s="268">
        <f t="shared" si="255"/>
        <v>85.692655999999999</v>
      </c>
      <c r="L454" s="268">
        <f t="shared" si="256"/>
        <v>9715.9417331199984</v>
      </c>
      <c r="M454" s="268">
        <f t="shared" si="257"/>
        <v>3615.5504029866661</v>
      </c>
      <c r="N454" s="268">
        <v>13330.79</v>
      </c>
      <c r="O454" s="269">
        <f t="shared" si="258"/>
        <v>5.8148469000175208E-3</v>
      </c>
      <c r="P454" s="44"/>
      <c r="Q454" s="49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</row>
    <row r="455" spans="1:36" ht="15.75" customHeight="1" x14ac:dyDescent="0.25">
      <c r="A455" s="44"/>
      <c r="B455" s="265" t="s">
        <v>1688</v>
      </c>
      <c r="C455" s="266" t="s">
        <v>1706</v>
      </c>
      <c r="D455" s="265" t="s">
        <v>200</v>
      </c>
      <c r="E455" s="265" t="s">
        <v>1665</v>
      </c>
      <c r="F455" s="267" t="s">
        <v>1666</v>
      </c>
      <c r="G455" s="279">
        <f>(9.5+39+12.29+33.37+22.55+7.17-3-3-1.2)*0.2*0.4*1.5</f>
        <v>14.0016</v>
      </c>
      <c r="H455" s="268">
        <v>64.290000000000006</v>
      </c>
      <c r="I455" s="268">
        <f>64.29*1.2488</f>
        <v>80.285352000000003</v>
      </c>
      <c r="J455" s="268">
        <f>0*1.2488</f>
        <v>0</v>
      </c>
      <c r="K455" s="268">
        <f t="shared" si="255"/>
        <v>80.285352000000003</v>
      </c>
      <c r="L455" s="268">
        <f t="shared" si="256"/>
        <v>1124.1233845632</v>
      </c>
      <c r="M455" s="268">
        <f t="shared" si="257"/>
        <v>0</v>
      </c>
      <c r="N455" s="268">
        <v>1124.06</v>
      </c>
      <c r="O455" s="269">
        <f t="shared" si="258"/>
        <v>4.9031128736059105E-4</v>
      </c>
      <c r="P455" s="44"/>
      <c r="Q455" s="49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</row>
    <row r="456" spans="1:36" ht="15.75" customHeight="1" x14ac:dyDescent="0.25">
      <c r="A456" s="44"/>
      <c r="B456" s="265" t="s">
        <v>1689</v>
      </c>
      <c r="C456" s="266" t="s">
        <v>1707</v>
      </c>
      <c r="D456" s="265" t="s">
        <v>200</v>
      </c>
      <c r="E456" s="265" t="s">
        <v>1667</v>
      </c>
      <c r="F456" s="267" t="s">
        <v>1662</v>
      </c>
      <c r="G456" s="279">
        <f>(9.5+39+12.29+33.37+22.55+7.17-3-3-1.2)*0.4</f>
        <v>46.671999999999997</v>
      </c>
      <c r="H456" s="268">
        <v>104.54</v>
      </c>
      <c r="I456" s="268">
        <f>61.78*1.2488</f>
        <v>77.150863999999999</v>
      </c>
      <c r="J456" s="268">
        <f>42.76*1.2488</f>
        <v>53.398687999999993</v>
      </c>
      <c r="K456" s="268">
        <f t="shared" si="255"/>
        <v>130.54955200000001</v>
      </c>
      <c r="L456" s="268">
        <f t="shared" si="256"/>
        <v>3600.7851246079995</v>
      </c>
      <c r="M456" s="268">
        <f t="shared" si="257"/>
        <v>2492.2235663359993</v>
      </c>
      <c r="N456" s="268">
        <v>6092.77</v>
      </c>
      <c r="O456" s="269">
        <f t="shared" si="258"/>
        <v>2.6576463020585991E-3</v>
      </c>
      <c r="P456" s="44"/>
      <c r="Q456" s="49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</row>
    <row r="457" spans="1:36" ht="15.75" customHeight="1" x14ac:dyDescent="0.25">
      <c r="A457" s="44"/>
      <c r="B457" s="265" t="s">
        <v>1690</v>
      </c>
      <c r="C457" s="266" t="s">
        <v>1708</v>
      </c>
      <c r="D457" s="265" t="s">
        <v>200</v>
      </c>
      <c r="E457" s="265" t="s">
        <v>1668</v>
      </c>
      <c r="F457" s="267" t="s">
        <v>1666</v>
      </c>
      <c r="G457" s="279">
        <f>(9.5+39+12.29+33.37+22.55+7.17-3-3-1.2)*0.2*0.02</f>
        <v>0.46671999999999997</v>
      </c>
      <c r="H457" s="268">
        <v>211.23</v>
      </c>
      <c r="I457" s="268">
        <f>32.15*1.2488</f>
        <v>40.148919999999997</v>
      </c>
      <c r="J457" s="268">
        <f>179.08*1.2488</f>
        <v>223.63510400000001</v>
      </c>
      <c r="K457" s="268">
        <f t="shared" si="255"/>
        <v>263.78402399999999</v>
      </c>
      <c r="L457" s="268">
        <f t="shared" si="256"/>
        <v>18.738303942399998</v>
      </c>
      <c r="M457" s="268">
        <f t="shared" si="257"/>
        <v>104.37497573888</v>
      </c>
      <c r="N457" s="268">
        <v>123.98</v>
      </c>
      <c r="O457" s="269">
        <f t="shared" si="258"/>
        <v>5.40796695967885E-5</v>
      </c>
      <c r="P457" s="44"/>
      <c r="Q457" s="49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</row>
    <row r="458" spans="1:36" ht="15.75" customHeight="1" x14ac:dyDescent="0.25">
      <c r="A458" s="44"/>
      <c r="B458" s="265" t="s">
        <v>1691</v>
      </c>
      <c r="C458" s="266" t="s">
        <v>1709</v>
      </c>
      <c r="D458" s="265" t="s">
        <v>200</v>
      </c>
      <c r="E458" s="265" t="s">
        <v>1669</v>
      </c>
      <c r="F458" s="267" t="s">
        <v>1666</v>
      </c>
      <c r="G458" s="279">
        <f>(9.5+39+12.29+33.37+22.55+7.17-3-3-1.2)*(0.2*0.4)</f>
        <v>9.3344000000000005</v>
      </c>
      <c r="H458" s="268">
        <v>500.13</v>
      </c>
      <c r="I458" s="268">
        <f>0*1.2488</f>
        <v>0</v>
      </c>
      <c r="J458" s="268">
        <f>500.13*1.2488</f>
        <v>624.56234399999994</v>
      </c>
      <c r="K458" s="268">
        <f t="shared" si="255"/>
        <v>624.56234399999994</v>
      </c>
      <c r="L458" s="268">
        <f t="shared" si="256"/>
        <v>0</v>
      </c>
      <c r="M458" s="268">
        <f t="shared" si="257"/>
        <v>5829.9147438335995</v>
      </c>
      <c r="N458" s="268">
        <v>5827.14</v>
      </c>
      <c r="O458" s="269">
        <f t="shared" si="258"/>
        <v>2.5417793667868219E-3</v>
      </c>
      <c r="P458" s="44"/>
      <c r="Q458" s="49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</row>
    <row r="459" spans="1:36" ht="15.75" customHeight="1" x14ac:dyDescent="0.25">
      <c r="A459" s="44"/>
      <c r="B459" s="265" t="s">
        <v>1692</v>
      </c>
      <c r="C459" s="266" t="s">
        <v>1710</v>
      </c>
      <c r="D459" s="265" t="s">
        <v>200</v>
      </c>
      <c r="E459" s="265" t="s">
        <v>1670</v>
      </c>
      <c r="F459" s="267" t="s">
        <v>1666</v>
      </c>
      <c r="G459" s="279">
        <f>G458</f>
        <v>9.3344000000000005</v>
      </c>
      <c r="H459" s="268">
        <v>180.76</v>
      </c>
      <c r="I459" s="268">
        <f>180.76*1.2488</f>
        <v>225.73308799999998</v>
      </c>
      <c r="J459" s="268">
        <f>0*1.2488</f>
        <v>0</v>
      </c>
      <c r="K459" s="268">
        <f t="shared" si="255"/>
        <v>225.73308799999998</v>
      </c>
      <c r="L459" s="268">
        <f t="shared" si="256"/>
        <v>2107.0829366272001</v>
      </c>
      <c r="M459" s="268">
        <f t="shared" si="257"/>
        <v>0</v>
      </c>
      <c r="N459" s="268">
        <v>2106.06</v>
      </c>
      <c r="O459" s="269">
        <f t="shared" si="258"/>
        <v>9.1865646839016282E-4</v>
      </c>
      <c r="P459" s="44"/>
      <c r="Q459" s="49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</row>
    <row r="460" spans="1:36" ht="15.75" customHeight="1" x14ac:dyDescent="0.25">
      <c r="A460" s="44"/>
      <c r="B460" s="265" t="s">
        <v>1693</v>
      </c>
      <c r="C460" s="266" t="s">
        <v>1711</v>
      </c>
      <c r="D460" s="265" t="s">
        <v>200</v>
      </c>
      <c r="E460" s="265" t="s">
        <v>1671</v>
      </c>
      <c r="F460" s="267" t="s">
        <v>64</v>
      </c>
      <c r="G460" s="279">
        <f>G458*100</f>
        <v>933.44</v>
      </c>
      <c r="H460" s="268">
        <v>10.49</v>
      </c>
      <c r="I460" s="268">
        <f>2.75*1.2488</f>
        <v>3.4341999999999997</v>
      </c>
      <c r="J460" s="268">
        <f>7.74*1.2488</f>
        <v>9.6657119999999992</v>
      </c>
      <c r="K460" s="268">
        <f t="shared" si="255"/>
        <v>13.099912</v>
      </c>
      <c r="L460" s="268">
        <f t="shared" si="256"/>
        <v>3205.6196479999999</v>
      </c>
      <c r="M460" s="268">
        <f t="shared" si="257"/>
        <v>9022.3622092799997</v>
      </c>
      <c r="N460" s="268">
        <v>12228.06</v>
      </c>
      <c r="O460" s="269">
        <f t="shared" si="258"/>
        <v>5.3338396887377447E-3</v>
      </c>
      <c r="P460" s="44"/>
      <c r="Q460" s="49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</row>
    <row r="461" spans="1:36" ht="15.75" customHeight="1" x14ac:dyDescent="0.25">
      <c r="A461" s="44"/>
      <c r="B461" s="265" t="s">
        <v>1694</v>
      </c>
      <c r="C461" s="266" t="s">
        <v>1712</v>
      </c>
      <c r="D461" s="265" t="s">
        <v>200</v>
      </c>
      <c r="E461" s="265" t="s">
        <v>1672</v>
      </c>
      <c r="F461" s="267" t="s">
        <v>1662</v>
      </c>
      <c r="G461" s="279">
        <f>(9.5+39+12.29+33.37+22.55+7.17-3-3-1.2)*0.4*0.2</f>
        <v>9.3344000000000005</v>
      </c>
      <c r="H461" s="268">
        <v>20.41</v>
      </c>
      <c r="I461" s="268">
        <f>8.57*1.2488</f>
        <v>10.702216</v>
      </c>
      <c r="J461" s="268">
        <f>11.84*1.2488</f>
        <v>14.785791999999999</v>
      </c>
      <c r="K461" s="268">
        <f t="shared" si="255"/>
        <v>25.488008000000001</v>
      </c>
      <c r="L461" s="268">
        <f t="shared" si="256"/>
        <v>99.8987650304</v>
      </c>
      <c r="M461" s="268">
        <f t="shared" si="257"/>
        <v>138.0164968448</v>
      </c>
      <c r="N461" s="268">
        <v>237.82</v>
      </c>
      <c r="O461" s="269">
        <f t="shared" si="258"/>
        <v>1.0373630443223295E-4</v>
      </c>
      <c r="P461" s="44"/>
      <c r="Q461" s="49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</row>
    <row r="462" spans="1:36" ht="15.75" customHeight="1" x14ac:dyDescent="0.25">
      <c r="A462" s="44"/>
      <c r="B462" s="265" t="s">
        <v>1695</v>
      </c>
      <c r="C462" s="266" t="s">
        <v>1713</v>
      </c>
      <c r="D462" s="265" t="s">
        <v>200</v>
      </c>
      <c r="E462" s="265" t="s">
        <v>1673</v>
      </c>
      <c r="F462" s="267" t="s">
        <v>1666</v>
      </c>
      <c r="G462" s="279">
        <f>G455/2</f>
        <v>7.0007999999999999</v>
      </c>
      <c r="H462" s="268">
        <v>19.989999999999998</v>
      </c>
      <c r="I462" s="268">
        <f>19.99*1.2488</f>
        <v>24.963511999999998</v>
      </c>
      <c r="J462" s="268">
        <f>0*1.2488</f>
        <v>0</v>
      </c>
      <c r="K462" s="268">
        <f t="shared" si="255"/>
        <v>24.963511999999998</v>
      </c>
      <c r="L462" s="268">
        <f t="shared" si="256"/>
        <v>174.76455480959999</v>
      </c>
      <c r="M462" s="268">
        <f t="shared" si="257"/>
        <v>0</v>
      </c>
      <c r="N462" s="268">
        <v>174.72</v>
      </c>
      <c r="O462" s="269">
        <f t="shared" si="258"/>
        <v>7.6212291272389788E-5</v>
      </c>
      <c r="P462" s="44"/>
      <c r="Q462" s="49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</row>
    <row r="463" spans="1:36" ht="15.75" customHeight="1" x14ac:dyDescent="0.25">
      <c r="A463" s="44"/>
      <c r="B463" s="265" t="s">
        <v>1696</v>
      </c>
      <c r="C463" s="266" t="s">
        <v>1674</v>
      </c>
      <c r="D463" s="265" t="s">
        <v>200</v>
      </c>
      <c r="E463" s="265" t="s">
        <v>1675</v>
      </c>
      <c r="F463" s="267" t="s">
        <v>1662</v>
      </c>
      <c r="G463" s="279">
        <f>((9.5+39+12.29+33.37-3-3-1.2)*0.4)</f>
        <v>34.783999999999999</v>
      </c>
      <c r="H463" s="268">
        <v>132.47999999999999</v>
      </c>
      <c r="I463" s="268">
        <f>38.64*1.2488</f>
        <v>48.253631999999996</v>
      </c>
      <c r="J463" s="268">
        <f>93.84*1.2488</f>
        <v>117.187392</v>
      </c>
      <c r="K463" s="268">
        <f t="shared" si="255"/>
        <v>165.441024</v>
      </c>
      <c r="L463" s="268">
        <f t="shared" si="256"/>
        <v>1678.4543354879997</v>
      </c>
      <c r="M463" s="268">
        <f t="shared" si="257"/>
        <v>4076.2462433279998</v>
      </c>
      <c r="N463" s="268">
        <v>5754</v>
      </c>
      <c r="O463" s="269">
        <f t="shared" si="258"/>
        <v>2.5098759385378368E-3</v>
      </c>
      <c r="P463" s="44"/>
      <c r="Q463" s="49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</row>
    <row r="464" spans="1:36" ht="15.75" customHeight="1" x14ac:dyDescent="0.25">
      <c r="A464" s="44"/>
      <c r="B464" s="265" t="s">
        <v>1696</v>
      </c>
      <c r="C464" s="266" t="s">
        <v>1718</v>
      </c>
      <c r="D464" s="265" t="s">
        <v>200</v>
      </c>
      <c r="E464" s="265" t="s">
        <v>1717</v>
      </c>
      <c r="F464" s="267" t="s">
        <v>1662</v>
      </c>
      <c r="G464" s="279">
        <f>((22.55+7.17)*2.2)</f>
        <v>65.384</v>
      </c>
      <c r="H464" s="268">
        <v>111.99</v>
      </c>
      <c r="I464" s="268">
        <f>38.64*1.2488</f>
        <v>48.253631999999996</v>
      </c>
      <c r="J464" s="268">
        <f>73.35*1.2488</f>
        <v>91.599479999999986</v>
      </c>
      <c r="K464" s="268">
        <f t="shared" ref="K464" si="259">I464+J464</f>
        <v>139.85311199999998</v>
      </c>
      <c r="L464" s="268">
        <f t="shared" ref="L464" si="260">G464*I464</f>
        <v>3155.0154746879998</v>
      </c>
      <c r="M464" s="268">
        <f t="shared" ref="M464" si="261">G464*J464</f>
        <v>5989.1404003199987</v>
      </c>
      <c r="N464" s="268">
        <v>9143.39</v>
      </c>
      <c r="O464" s="269">
        <f t="shared" ref="O464" si="262">N464/$N$472</f>
        <v>3.9883167462056784E-3</v>
      </c>
      <c r="P464" s="44"/>
      <c r="Q464" s="49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</row>
    <row r="465" spans="1:36" ht="15.75" customHeight="1" x14ac:dyDescent="0.25">
      <c r="A465" s="44"/>
      <c r="B465" s="265" t="s">
        <v>1697</v>
      </c>
      <c r="C465" s="266" t="s">
        <v>1714</v>
      </c>
      <c r="D465" s="265" t="s">
        <v>200</v>
      </c>
      <c r="E465" s="265" t="s">
        <v>1676</v>
      </c>
      <c r="F465" s="267" t="s">
        <v>1666</v>
      </c>
      <c r="G465" s="279">
        <f>(9.5+39+12.29+33.37+22.55+7.17-3-3-1.2)/3*0.2*0.2*0.4</f>
        <v>0.62229333333333336</v>
      </c>
      <c r="H465" s="268">
        <v>532.37</v>
      </c>
      <c r="I465" s="268">
        <f>128.58*1.2488</f>
        <v>160.57070400000001</v>
      </c>
      <c r="J465" s="268">
        <f>403.79*1.2488</f>
        <v>504.25295199999999</v>
      </c>
      <c r="K465" s="268">
        <f t="shared" si="255"/>
        <v>664.82365600000003</v>
      </c>
      <c r="L465" s="268">
        <f t="shared" si="256"/>
        <v>99.922078627840008</v>
      </c>
      <c r="M465" s="268">
        <f t="shared" si="257"/>
        <v>313.79325034325336</v>
      </c>
      <c r="N465" s="268">
        <v>412.19</v>
      </c>
      <c r="O465" s="269">
        <f t="shared" si="258"/>
        <v>1.7979592685191364E-4</v>
      </c>
      <c r="P465" s="44"/>
      <c r="Q465" s="49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</row>
    <row r="466" spans="1:36" ht="15.75" customHeight="1" x14ac:dyDescent="0.25">
      <c r="A466" s="44"/>
      <c r="B466" s="265" t="s">
        <v>1698</v>
      </c>
      <c r="C466" s="266" t="s">
        <v>1715</v>
      </c>
      <c r="D466" s="265" t="s">
        <v>200</v>
      </c>
      <c r="E466" s="265" t="s">
        <v>1677</v>
      </c>
      <c r="F466" s="267" t="s">
        <v>1666</v>
      </c>
      <c r="G466" s="279">
        <f>G465</f>
        <v>0.62229333333333336</v>
      </c>
      <c r="H466" s="268">
        <v>124.86</v>
      </c>
      <c r="I466" s="268">
        <f>124.86*1.2488</f>
        <v>155.92516799999999</v>
      </c>
      <c r="J466" s="268">
        <f>0*1.2488</f>
        <v>0</v>
      </c>
      <c r="K466" s="268">
        <f t="shared" si="255"/>
        <v>155.92516799999999</v>
      </c>
      <c r="L466" s="268">
        <f t="shared" si="256"/>
        <v>97.031192545279993</v>
      </c>
      <c r="M466" s="268">
        <f t="shared" si="257"/>
        <v>0</v>
      </c>
      <c r="N466" s="268">
        <v>96.68</v>
      </c>
      <c r="O466" s="269">
        <f t="shared" si="258"/>
        <v>4.2171499085477596E-5</v>
      </c>
      <c r="P466" s="44"/>
      <c r="Q466" s="49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</row>
    <row r="467" spans="1:36" ht="15.75" customHeight="1" x14ac:dyDescent="0.25">
      <c r="A467" s="44"/>
      <c r="B467" s="265" t="s">
        <v>1699</v>
      </c>
      <c r="C467" s="266" t="s">
        <v>1711</v>
      </c>
      <c r="D467" s="265" t="s">
        <v>200</v>
      </c>
      <c r="E467" s="265" t="s">
        <v>1671</v>
      </c>
      <c r="F467" s="267" t="s">
        <v>64</v>
      </c>
      <c r="G467" s="279">
        <f>G465*100</f>
        <v>62.229333333333336</v>
      </c>
      <c r="H467" s="268">
        <v>10.49</v>
      </c>
      <c r="I467" s="268">
        <f>2.75*1.2488</f>
        <v>3.4341999999999997</v>
      </c>
      <c r="J467" s="268">
        <f>7.74*1.2488</f>
        <v>9.6657119999999992</v>
      </c>
      <c r="K467" s="268">
        <f t="shared" si="255"/>
        <v>13.099912</v>
      </c>
      <c r="L467" s="268">
        <f t="shared" si="256"/>
        <v>213.70797653333332</v>
      </c>
      <c r="M467" s="268">
        <f t="shared" si="257"/>
        <v>601.49081395199994</v>
      </c>
      <c r="N467" s="268">
        <v>815.21</v>
      </c>
      <c r="O467" s="269">
        <f t="shared" si="258"/>
        <v>3.5559192976284846E-4</v>
      </c>
      <c r="P467" s="44"/>
      <c r="Q467" s="49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</row>
    <row r="468" spans="1:36" ht="15.75" customHeight="1" x14ac:dyDescent="0.25">
      <c r="A468" s="44"/>
      <c r="B468" s="265" t="s">
        <v>1700</v>
      </c>
      <c r="C468" s="266" t="s">
        <v>1716</v>
      </c>
      <c r="D468" s="265" t="s">
        <v>200</v>
      </c>
      <c r="E468" s="265" t="s">
        <v>1678</v>
      </c>
      <c r="F468" s="267" t="s">
        <v>1662</v>
      </c>
      <c r="G468" s="279">
        <f>(9.5+39+12.29+33.37+22.55+7.17-3-3-1.2)/3*0.2*0.4</f>
        <v>3.1114666666666668</v>
      </c>
      <c r="H468" s="268">
        <v>257.97000000000003</v>
      </c>
      <c r="I468" s="268">
        <f>71.29*1.2488</f>
        <v>89.026951999999994</v>
      </c>
      <c r="J468" s="268">
        <f>186.68*1.2488</f>
        <v>233.12598399999999</v>
      </c>
      <c r="K468" s="268">
        <f t="shared" si="255"/>
        <v>322.15293599999995</v>
      </c>
      <c r="L468" s="268">
        <f t="shared" si="256"/>
        <v>277.00439358293335</v>
      </c>
      <c r="M468" s="268">
        <f t="shared" si="257"/>
        <v>725.36372834986662</v>
      </c>
      <c r="N468" s="268">
        <v>1001.89</v>
      </c>
      <c r="O468" s="269">
        <f t="shared" si="258"/>
        <v>4.3702113383066969E-4</v>
      </c>
      <c r="P468" s="44"/>
      <c r="Q468" s="49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</row>
    <row r="469" spans="1:36" ht="15.75" customHeight="1" x14ac:dyDescent="0.25">
      <c r="A469" s="44"/>
      <c r="B469" s="265" t="s">
        <v>1701</v>
      </c>
      <c r="C469" s="266" t="s">
        <v>1679</v>
      </c>
      <c r="D469" s="265" t="s">
        <v>200</v>
      </c>
      <c r="E469" s="265" t="s">
        <v>1680</v>
      </c>
      <c r="F469" s="267" t="s">
        <v>1662</v>
      </c>
      <c r="G469" s="279">
        <f>G463*2</f>
        <v>69.567999999999998</v>
      </c>
      <c r="H469" s="268">
        <v>7.33</v>
      </c>
      <c r="I469" s="268">
        <f>5.02*1.2488</f>
        <v>6.2689759999999994</v>
      </c>
      <c r="J469" s="268">
        <f>2.31*1.2488</f>
        <v>2.884728</v>
      </c>
      <c r="K469" s="268">
        <f t="shared" si="255"/>
        <v>9.1537039999999994</v>
      </c>
      <c r="L469" s="268">
        <f t="shared" si="256"/>
        <v>436.12012236799995</v>
      </c>
      <c r="M469" s="268">
        <f t="shared" si="257"/>
        <v>200.684757504</v>
      </c>
      <c r="N469" s="268">
        <v>636.57000000000005</v>
      </c>
      <c r="O469" s="269">
        <f t="shared" si="258"/>
        <v>2.7766974734011663E-4</v>
      </c>
      <c r="P469" s="44"/>
      <c r="Q469" s="49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</row>
    <row r="470" spans="1:36" ht="15.75" customHeight="1" x14ac:dyDescent="0.25">
      <c r="A470" s="44"/>
      <c r="B470" s="265" t="s">
        <v>1702</v>
      </c>
      <c r="C470" s="266" t="s">
        <v>1681</v>
      </c>
      <c r="D470" s="265" t="s">
        <v>200</v>
      </c>
      <c r="E470" s="265" t="s">
        <v>1682</v>
      </c>
      <c r="F470" s="267" t="s">
        <v>1662</v>
      </c>
      <c r="G470" s="279">
        <f>G463*2</f>
        <v>69.567999999999998</v>
      </c>
      <c r="H470" s="268">
        <v>23.57</v>
      </c>
      <c r="I470" s="268">
        <f>13.79*1.2488</f>
        <v>17.220951999999997</v>
      </c>
      <c r="J470" s="268">
        <f>9.78*1.2488</f>
        <v>12.213263999999999</v>
      </c>
      <c r="K470" s="268">
        <f t="shared" ref="K470" si="263">I470+J470</f>
        <v>29.434215999999996</v>
      </c>
      <c r="L470" s="268">
        <f t="shared" ref="L470" si="264">G470*I470</f>
        <v>1198.0271887359997</v>
      </c>
      <c r="M470" s="268">
        <f t="shared" ref="M470" si="265">G470*J470</f>
        <v>849.65234995199989</v>
      </c>
      <c r="N470" s="268">
        <v>2047.45</v>
      </c>
      <c r="O470" s="269">
        <f t="shared" ref="O470" si="266">N470/$N$472</f>
        <v>8.930909785122166E-4</v>
      </c>
      <c r="P470" s="44"/>
      <c r="Q470" s="49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</row>
    <row r="471" spans="1:36" ht="15.75" customHeight="1" x14ac:dyDescent="0.25">
      <c r="A471" s="44"/>
      <c r="B471" s="265" t="s">
        <v>1703</v>
      </c>
      <c r="C471" s="266" t="s">
        <v>1683</v>
      </c>
      <c r="D471" s="265" t="s">
        <v>200</v>
      </c>
      <c r="E471" s="265" t="s">
        <v>1684</v>
      </c>
      <c r="F471" s="267" t="s">
        <v>1662</v>
      </c>
      <c r="G471" s="279">
        <f>G463*2</f>
        <v>69.567999999999998</v>
      </c>
      <c r="H471" s="268">
        <v>13.82</v>
      </c>
      <c r="I471" s="268">
        <f>11.88*1.2488</f>
        <v>14.835744</v>
      </c>
      <c r="J471" s="268">
        <f>1.94*1.2488</f>
        <v>2.4226719999999999</v>
      </c>
      <c r="K471" s="268">
        <f t="shared" ref="K471" si="267">I471+J471</f>
        <v>17.258416</v>
      </c>
      <c r="L471" s="268">
        <f t="shared" ref="L471" si="268">G471*I471</f>
        <v>1032.0930385920001</v>
      </c>
      <c r="M471" s="268">
        <f t="shared" ref="M471" si="269">G471*J471</f>
        <v>168.54044569599998</v>
      </c>
      <c r="N471" s="268">
        <v>1200.78</v>
      </c>
      <c r="O471" s="269">
        <f t="shared" si="238"/>
        <v>5.2377629987442889E-4</v>
      </c>
      <c r="P471" s="44"/>
      <c r="Q471" s="49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</row>
    <row r="472" spans="1:36" ht="15.75" customHeight="1" x14ac:dyDescent="0.25">
      <c r="A472" s="44"/>
      <c r="B472" s="270"/>
      <c r="C472" s="270"/>
      <c r="D472" s="270"/>
      <c r="E472" s="270"/>
      <c r="F472" s="270"/>
      <c r="G472" s="280"/>
      <c r="H472" s="270"/>
      <c r="I472" s="270"/>
      <c r="J472" s="270"/>
      <c r="K472" s="270" t="s">
        <v>310</v>
      </c>
      <c r="L472" s="270"/>
      <c r="M472" s="270"/>
      <c r="N472" s="285">
        <f>RESUMO!E39</f>
        <v>2292543.5921554244</v>
      </c>
      <c r="O472" s="284">
        <f t="shared" si="238"/>
        <v>1</v>
      </c>
      <c r="P472" s="44"/>
      <c r="Q472" s="109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</row>
    <row r="473" spans="1:36" ht="15.75" customHeight="1" x14ac:dyDescent="0.25">
      <c r="A473" s="44"/>
      <c r="B473" s="271"/>
      <c r="C473" s="271"/>
      <c r="D473" s="271"/>
      <c r="E473" s="271"/>
      <c r="F473" s="271"/>
      <c r="G473" s="281"/>
      <c r="H473" s="271"/>
      <c r="I473" s="271"/>
      <c r="J473" s="271"/>
      <c r="K473" s="271"/>
      <c r="L473" s="271"/>
      <c r="M473" s="271"/>
      <c r="N473" s="271"/>
      <c r="O473" s="271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</row>
    <row r="474" spans="1:36" ht="15.75" customHeight="1" x14ac:dyDescent="0.25">
      <c r="A474" s="44"/>
      <c r="B474" s="400"/>
      <c r="C474" s="400"/>
      <c r="D474" s="400"/>
      <c r="E474" s="272"/>
      <c r="F474" s="270"/>
      <c r="G474" s="280"/>
      <c r="H474" s="270"/>
      <c r="I474" s="270"/>
      <c r="J474" s="270"/>
      <c r="K474" s="401" t="s">
        <v>311</v>
      </c>
      <c r="L474" s="400"/>
      <c r="M474" s="402"/>
      <c r="N474" s="400"/>
      <c r="O474" s="400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</row>
    <row r="475" spans="1:36" ht="15.75" customHeight="1" x14ac:dyDescent="0.25">
      <c r="A475" s="44"/>
      <c r="B475" s="400"/>
      <c r="C475" s="400"/>
      <c r="D475" s="400"/>
      <c r="E475" s="272"/>
      <c r="F475" s="270"/>
      <c r="G475" s="280"/>
      <c r="H475" s="270"/>
      <c r="I475" s="270"/>
      <c r="J475" s="270"/>
      <c r="K475" s="401" t="s">
        <v>312</v>
      </c>
      <c r="L475" s="400"/>
      <c r="M475" s="402"/>
      <c r="N475" s="400"/>
      <c r="O475" s="400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</row>
    <row r="476" spans="1:36" ht="15.75" customHeight="1" x14ac:dyDescent="0.25">
      <c r="A476" s="44"/>
      <c r="B476" s="400"/>
      <c r="C476" s="400"/>
      <c r="D476" s="400"/>
      <c r="E476" s="272"/>
      <c r="F476" s="270"/>
      <c r="G476" s="280"/>
      <c r="H476" s="270"/>
      <c r="I476" s="270"/>
      <c r="J476" s="270"/>
      <c r="K476" s="401" t="s">
        <v>313</v>
      </c>
      <c r="L476" s="400"/>
      <c r="M476" s="402"/>
      <c r="N476" s="400"/>
      <c r="O476" s="400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</row>
    <row r="477" spans="1:36" ht="15.75" customHeight="1" x14ac:dyDescent="0.25">
      <c r="A477" s="44"/>
      <c r="B477" s="44"/>
      <c r="C477" s="44"/>
      <c r="D477" s="44"/>
      <c r="E477" s="44"/>
      <c r="F477" s="44"/>
      <c r="G477" s="206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</row>
    <row r="478" spans="1:36" ht="15.75" customHeight="1" thickBot="1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:36" ht="15.75" customHeight="1" x14ac:dyDescent="0.25">
      <c r="A479" s="44"/>
      <c r="B479" s="44"/>
      <c r="C479" s="44"/>
      <c r="D479" s="206"/>
      <c r="E479" s="333"/>
      <c r="F479" s="334"/>
      <c r="G479" s="334"/>
      <c r="H479" s="334"/>
      <c r="I479" s="335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</row>
    <row r="480" spans="1:36" ht="15.75" customHeight="1" x14ac:dyDescent="0.25">
      <c r="A480" s="44"/>
      <c r="B480" s="44"/>
      <c r="C480" s="44"/>
      <c r="D480" s="206"/>
      <c r="E480" s="396" t="s">
        <v>1743</v>
      </c>
      <c r="F480" s="397"/>
      <c r="G480" s="397"/>
      <c r="H480" s="397"/>
      <c r="I480" s="398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</row>
    <row r="481" spans="1:36" ht="15.75" customHeight="1" x14ac:dyDescent="0.25">
      <c r="A481" s="44"/>
      <c r="B481" s="44"/>
      <c r="C481" s="44"/>
      <c r="D481" s="206"/>
      <c r="E481" s="399" t="s">
        <v>1744</v>
      </c>
      <c r="F481" s="397"/>
      <c r="G481" s="397"/>
      <c r="H481" s="397"/>
      <c r="I481" s="398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</row>
    <row r="482" spans="1:36" ht="15.75" customHeight="1" thickBot="1" x14ac:dyDescent="0.3">
      <c r="A482" s="44"/>
      <c r="B482" s="44"/>
      <c r="C482" s="44"/>
      <c r="D482" s="206"/>
      <c r="E482" s="336"/>
      <c r="F482" s="337"/>
      <c r="G482" s="337"/>
      <c r="H482" s="337"/>
      <c r="I482" s="338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</row>
    <row r="483" spans="1:36" ht="15.75" customHeight="1" x14ac:dyDescent="0.25">
      <c r="A483" s="44"/>
      <c r="B483" s="44"/>
      <c r="C483" s="44"/>
      <c r="D483" s="206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</row>
    <row r="484" spans="1:36" ht="15.75" customHeight="1" x14ac:dyDescent="0.25">
      <c r="A484" s="44"/>
      <c r="B484" s="44"/>
      <c r="C484" s="44"/>
      <c r="D484" s="206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</row>
    <row r="485" spans="1:36" ht="15.75" customHeight="1" x14ac:dyDescent="0.25">
      <c r="A485" s="44"/>
      <c r="B485" s="44"/>
      <c r="C485" s="44"/>
      <c r="D485" s="206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</row>
    <row r="486" spans="1:36" ht="15.75" customHeight="1" x14ac:dyDescent="0.25">
      <c r="A486" s="44"/>
      <c r="B486" s="44"/>
      <c r="C486" s="44"/>
      <c r="D486" s="206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</row>
    <row r="487" spans="1:36" ht="15.75" customHeight="1" x14ac:dyDescent="0.25">
      <c r="A487" s="44"/>
      <c r="B487" s="44"/>
      <c r="C487" s="44"/>
      <c r="D487" s="206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</row>
    <row r="488" spans="1:36" ht="15.75" customHeight="1" x14ac:dyDescent="0.25">
      <c r="A488" s="44"/>
      <c r="B488" s="44"/>
      <c r="C488" s="44"/>
      <c r="D488" s="206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</row>
    <row r="489" spans="1:36" ht="15.75" customHeight="1" x14ac:dyDescent="0.25">
      <c r="A489" s="44"/>
      <c r="B489" s="44"/>
      <c r="C489" s="44"/>
      <c r="D489" s="206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</row>
    <row r="490" spans="1:36" ht="15.75" customHeight="1" x14ac:dyDescent="0.25">
      <c r="A490" s="44"/>
      <c r="B490" s="44"/>
      <c r="C490" s="44"/>
      <c r="D490" s="206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</row>
    <row r="491" spans="1:36" ht="15.75" customHeight="1" x14ac:dyDescent="0.25">
      <c r="A491" s="44"/>
      <c r="B491" s="44"/>
      <c r="C491" s="44"/>
      <c r="D491" s="206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</row>
    <row r="492" spans="1:36" ht="15.75" customHeight="1" x14ac:dyDescent="0.25">
      <c r="A492" s="44"/>
      <c r="B492" s="44"/>
      <c r="C492" s="44"/>
      <c r="D492" s="206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</row>
    <row r="493" spans="1:36" ht="15.75" customHeight="1" x14ac:dyDescent="0.25">
      <c r="A493" s="44"/>
      <c r="B493" s="44"/>
      <c r="C493" s="44"/>
      <c r="D493" s="206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</row>
    <row r="494" spans="1:36" ht="15.75" customHeight="1" x14ac:dyDescent="0.25">
      <c r="A494" s="44"/>
      <c r="B494" s="44"/>
      <c r="C494" s="44"/>
      <c r="D494" s="44"/>
      <c r="E494" s="44"/>
      <c r="F494" s="44"/>
      <c r="G494" s="206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</row>
    <row r="495" spans="1:36" ht="15.75" customHeight="1" x14ac:dyDescent="0.25">
      <c r="A495" s="44"/>
      <c r="B495" s="44"/>
      <c r="C495" s="44"/>
      <c r="D495" s="44"/>
      <c r="E495" s="44"/>
      <c r="F495" s="44"/>
      <c r="G495" s="206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</row>
    <row r="496" spans="1:36" ht="15.75" customHeight="1" x14ac:dyDescent="0.25">
      <c r="A496" s="44"/>
      <c r="B496" s="44"/>
      <c r="C496" s="44"/>
      <c r="D496" s="44"/>
      <c r="E496" s="44"/>
      <c r="F496" s="44"/>
      <c r="G496" s="206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</row>
    <row r="497" spans="1:36" ht="15.75" customHeight="1" x14ac:dyDescent="0.25">
      <c r="A497" s="44"/>
      <c r="B497" s="44"/>
      <c r="C497" s="44"/>
      <c r="D497" s="44"/>
      <c r="E497" s="44"/>
      <c r="F497" s="44"/>
      <c r="G497" s="206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</row>
    <row r="498" spans="1:36" ht="15.75" customHeight="1" x14ac:dyDescent="0.25">
      <c r="A498" s="44"/>
      <c r="B498" s="44"/>
      <c r="C498" s="44"/>
      <c r="D498" s="44"/>
      <c r="E498" s="44"/>
      <c r="F498" s="44"/>
      <c r="G498" s="206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</row>
    <row r="499" spans="1:36" ht="15.75" customHeight="1" x14ac:dyDescent="0.25">
      <c r="A499" s="44"/>
      <c r="B499" s="44"/>
      <c r="C499" s="44"/>
      <c r="D499" s="44"/>
      <c r="E499" s="44"/>
      <c r="F499" s="44"/>
      <c r="G499" s="206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</row>
    <row r="500" spans="1:36" ht="15.75" customHeight="1" x14ac:dyDescent="0.25">
      <c r="A500" s="44"/>
      <c r="B500" s="44"/>
      <c r="C500" s="44"/>
      <c r="D500" s="44"/>
      <c r="E500" s="44"/>
      <c r="F500" s="44"/>
      <c r="G500" s="206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</row>
    <row r="501" spans="1:36" ht="15.75" customHeight="1" x14ac:dyDescent="0.25">
      <c r="A501" s="44"/>
      <c r="B501" s="44"/>
      <c r="C501" s="44"/>
      <c r="D501" s="44"/>
      <c r="E501" s="44"/>
      <c r="F501" s="44"/>
      <c r="G501" s="206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</row>
    <row r="502" spans="1:36" ht="15.75" customHeight="1" x14ac:dyDescent="0.25">
      <c r="A502" s="44"/>
      <c r="B502" s="44"/>
      <c r="C502" s="44"/>
      <c r="D502" s="44"/>
      <c r="E502" s="44"/>
      <c r="F502" s="44"/>
      <c r="G502" s="206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</row>
    <row r="503" spans="1:36" ht="15.75" customHeight="1" x14ac:dyDescent="0.25">
      <c r="A503" s="44"/>
      <c r="B503" s="44"/>
      <c r="C503" s="44"/>
      <c r="D503" s="44"/>
      <c r="E503" s="44"/>
      <c r="F503" s="44"/>
      <c r="G503" s="206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</row>
    <row r="504" spans="1:36" ht="15.75" customHeight="1" x14ac:dyDescent="0.25">
      <c r="A504" s="44"/>
      <c r="B504" s="44"/>
      <c r="C504" s="44"/>
      <c r="D504" s="44"/>
      <c r="E504" s="44"/>
      <c r="F504" s="44"/>
      <c r="G504" s="206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</row>
    <row r="505" spans="1:36" ht="15.75" customHeight="1" x14ac:dyDescent="0.25">
      <c r="A505" s="44"/>
      <c r="B505" s="44"/>
      <c r="C505" s="44"/>
      <c r="D505" s="44"/>
      <c r="E505" s="44"/>
      <c r="F505" s="44"/>
      <c r="G505" s="206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</row>
    <row r="506" spans="1:36" ht="15.75" customHeight="1" x14ac:dyDescent="0.25">
      <c r="A506" s="44"/>
      <c r="B506" s="44"/>
      <c r="C506" s="44"/>
      <c r="D506" s="44"/>
      <c r="E506" s="44"/>
      <c r="F506" s="44"/>
      <c r="G506" s="206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</row>
    <row r="507" spans="1:36" ht="15.75" customHeight="1" x14ac:dyDescent="0.25">
      <c r="A507" s="44"/>
      <c r="B507" s="44"/>
      <c r="C507" s="44"/>
      <c r="D507" s="44"/>
      <c r="E507" s="44"/>
      <c r="F507" s="44"/>
      <c r="G507" s="206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</row>
    <row r="508" spans="1:36" ht="15.75" customHeight="1" x14ac:dyDescent="0.25">
      <c r="A508" s="44"/>
      <c r="B508" s="44"/>
      <c r="C508" s="44"/>
      <c r="D508" s="44"/>
      <c r="E508" s="44"/>
      <c r="F508" s="44"/>
      <c r="G508" s="206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</row>
    <row r="509" spans="1:36" ht="15.75" customHeight="1" x14ac:dyDescent="0.25">
      <c r="A509" s="44"/>
      <c r="B509" s="44"/>
      <c r="C509" s="44"/>
      <c r="D509" s="44"/>
      <c r="E509" s="44"/>
      <c r="F509" s="44"/>
      <c r="G509" s="206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</row>
    <row r="510" spans="1:36" ht="15.75" customHeight="1" x14ac:dyDescent="0.25">
      <c r="A510" s="44"/>
      <c r="B510" s="44"/>
      <c r="C510" s="44"/>
      <c r="D510" s="44"/>
      <c r="E510" s="44"/>
      <c r="F510" s="44"/>
      <c r="G510" s="206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</row>
    <row r="511" spans="1:36" ht="15.75" customHeight="1" x14ac:dyDescent="0.25">
      <c r="A511" s="44"/>
      <c r="B511" s="44"/>
      <c r="C511" s="44"/>
      <c r="D511" s="44"/>
      <c r="E511" s="44"/>
      <c r="F511" s="44"/>
      <c r="G511" s="206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</row>
    <row r="512" spans="1:36" ht="15.75" customHeight="1" x14ac:dyDescent="0.25">
      <c r="A512" s="44"/>
      <c r="B512" s="44"/>
      <c r="C512" s="44"/>
      <c r="D512" s="44"/>
      <c r="E512" s="44"/>
      <c r="F512" s="44"/>
      <c r="G512" s="206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</row>
    <row r="513" spans="1:36" ht="15.75" customHeight="1" x14ac:dyDescent="0.25">
      <c r="A513" s="44"/>
      <c r="B513" s="44"/>
      <c r="C513" s="44"/>
      <c r="D513" s="44"/>
      <c r="E513" s="44"/>
      <c r="F513" s="44"/>
      <c r="G513" s="206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</row>
    <row r="514" spans="1:36" ht="15.75" customHeight="1" x14ac:dyDescent="0.25">
      <c r="A514" s="44"/>
      <c r="B514" s="44"/>
      <c r="C514" s="44"/>
      <c r="D514" s="44"/>
      <c r="E514" s="44"/>
      <c r="F514" s="44"/>
      <c r="G514" s="206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</row>
    <row r="515" spans="1:36" ht="15.75" customHeight="1" x14ac:dyDescent="0.25">
      <c r="A515" s="44"/>
      <c r="B515" s="44"/>
      <c r="C515" s="44"/>
      <c r="D515" s="44"/>
      <c r="E515" s="44"/>
      <c r="F515" s="44"/>
      <c r="G515" s="206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</row>
    <row r="516" spans="1:36" ht="15.75" customHeight="1" x14ac:dyDescent="0.25">
      <c r="A516" s="44"/>
      <c r="B516" s="44"/>
      <c r="C516" s="44"/>
      <c r="D516" s="44"/>
      <c r="E516" s="44"/>
      <c r="F516" s="44"/>
      <c r="G516" s="206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</row>
    <row r="517" spans="1:36" ht="15.75" customHeight="1" x14ac:dyDescent="0.25">
      <c r="A517" s="44"/>
      <c r="B517" s="44"/>
      <c r="C517" s="44"/>
      <c r="D517" s="44"/>
      <c r="E517" s="44"/>
      <c r="F517" s="44"/>
      <c r="G517" s="206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</row>
    <row r="518" spans="1:36" ht="15.75" customHeight="1" x14ac:dyDescent="0.25">
      <c r="A518" s="44"/>
      <c r="B518" s="44"/>
      <c r="C518" s="44"/>
      <c r="D518" s="44"/>
      <c r="E518" s="44"/>
      <c r="F518" s="44"/>
      <c r="G518" s="206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</row>
    <row r="519" spans="1:36" ht="15.75" customHeight="1" x14ac:dyDescent="0.25">
      <c r="A519" s="44"/>
      <c r="B519" s="44"/>
      <c r="C519" s="44"/>
      <c r="D519" s="44"/>
      <c r="E519" s="44"/>
      <c r="F519" s="44"/>
      <c r="G519" s="206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</row>
    <row r="520" spans="1:36" ht="15.75" customHeight="1" x14ac:dyDescent="0.25">
      <c r="A520" s="44"/>
      <c r="B520" s="44"/>
      <c r="C520" s="44"/>
      <c r="D520" s="44"/>
      <c r="E520" s="44"/>
      <c r="F520" s="44"/>
      <c r="G520" s="206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</row>
    <row r="521" spans="1:36" ht="15.75" customHeight="1" x14ac:dyDescent="0.25">
      <c r="A521" s="44"/>
      <c r="B521" s="44"/>
      <c r="C521" s="44"/>
      <c r="D521" s="44"/>
      <c r="E521" s="44"/>
      <c r="F521" s="44"/>
      <c r="G521" s="206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</row>
    <row r="522" spans="1:36" ht="15.75" customHeight="1" x14ac:dyDescent="0.25">
      <c r="A522" s="44"/>
      <c r="B522" s="44"/>
      <c r="C522" s="44"/>
      <c r="D522" s="44"/>
      <c r="E522" s="44"/>
      <c r="F522" s="44"/>
      <c r="G522" s="206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</row>
    <row r="523" spans="1:36" ht="15.75" customHeight="1" x14ac:dyDescent="0.25">
      <c r="A523" s="44"/>
      <c r="B523" s="44"/>
      <c r="C523" s="44"/>
      <c r="D523" s="44"/>
      <c r="E523" s="44"/>
      <c r="F523" s="44"/>
      <c r="G523" s="206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</row>
    <row r="524" spans="1:36" ht="15.75" customHeight="1" x14ac:dyDescent="0.25">
      <c r="A524" s="44"/>
      <c r="B524" s="44"/>
      <c r="C524" s="44"/>
      <c r="D524" s="44"/>
      <c r="E524" s="44"/>
      <c r="F524" s="44"/>
      <c r="G524" s="206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</row>
    <row r="525" spans="1:36" ht="15.75" customHeight="1" x14ac:dyDescent="0.25">
      <c r="A525" s="44"/>
      <c r="B525" s="44"/>
      <c r="C525" s="44"/>
      <c r="D525" s="44"/>
      <c r="E525" s="44"/>
      <c r="F525" s="44"/>
      <c r="G525" s="206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</row>
    <row r="526" spans="1:36" ht="15.75" customHeight="1" x14ac:dyDescent="0.25">
      <c r="A526" s="44"/>
      <c r="B526" s="44"/>
      <c r="C526" s="44"/>
      <c r="D526" s="44"/>
      <c r="E526" s="44"/>
      <c r="F526" s="44"/>
      <c r="G526" s="206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</row>
    <row r="527" spans="1:36" ht="15.75" customHeight="1" x14ac:dyDescent="0.25">
      <c r="A527" s="44"/>
      <c r="B527" s="44"/>
      <c r="C527" s="44"/>
      <c r="D527" s="44"/>
      <c r="E527" s="44"/>
      <c r="F527" s="44"/>
      <c r="G527" s="206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</row>
    <row r="528" spans="1:36" ht="15.75" customHeight="1" x14ac:dyDescent="0.25">
      <c r="A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</row>
    <row r="529" spans="1:36" ht="15.75" customHeight="1" x14ac:dyDescent="0.25">
      <c r="A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</row>
    <row r="530" spans="1:36" ht="15.75" customHeight="1" x14ac:dyDescent="0.25">
      <c r="A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</row>
    <row r="531" spans="1:36" ht="15.75" customHeight="1" x14ac:dyDescent="0.25">
      <c r="A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</row>
    <row r="532" spans="1:36" ht="15.75" customHeight="1" x14ac:dyDescent="0.25">
      <c r="A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</row>
    <row r="533" spans="1:36" ht="15.75" customHeight="1" x14ac:dyDescent="0.25">
      <c r="A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</row>
    <row r="534" spans="1:36" ht="15.75" customHeight="1" x14ac:dyDescent="0.25">
      <c r="A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</row>
  </sheetData>
  <autoFilter ref="A20:AG450" xr:uid="{00000000-0009-0000-0000-000003000000}"/>
  <mergeCells count="27">
    <mergeCell ref="B2:O6"/>
    <mergeCell ref="B18:B19"/>
    <mergeCell ref="C18:C19"/>
    <mergeCell ref="D18:D19"/>
    <mergeCell ref="E18:E19"/>
    <mergeCell ref="F18:F19"/>
    <mergeCell ref="G18:G19"/>
    <mergeCell ref="H18:H19"/>
    <mergeCell ref="I18:K18"/>
    <mergeCell ref="L18:N18"/>
    <mergeCell ref="O18:O19"/>
    <mergeCell ref="B11:E11"/>
    <mergeCell ref="B12:E12"/>
    <mergeCell ref="B13:E13"/>
    <mergeCell ref="B14:E14"/>
    <mergeCell ref="B16:E16"/>
    <mergeCell ref="B474:D474"/>
    <mergeCell ref="K474:L474"/>
    <mergeCell ref="M474:O474"/>
    <mergeCell ref="B475:D475"/>
    <mergeCell ref="K475:L475"/>
    <mergeCell ref="M475:O475"/>
    <mergeCell ref="E480:I480"/>
    <mergeCell ref="E481:I481"/>
    <mergeCell ref="B476:D476"/>
    <mergeCell ref="K476:L476"/>
    <mergeCell ref="M476:O47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FBFBF"/>
    <outlinePr summaryBelow="0"/>
    <pageSetUpPr fitToPage="1"/>
  </sheetPr>
  <dimension ref="A1:Y7198"/>
  <sheetViews>
    <sheetView showGridLines="0" zoomScale="70" zoomScaleNormal="70" workbookViewId="0">
      <pane ySplit="16" topLeftCell="A160" activePane="bottomLeft" state="frozen"/>
      <selection activeCell="C20" sqref="C20"/>
      <selection pane="bottomLeft" activeCell="L148" sqref="L148"/>
    </sheetView>
  </sheetViews>
  <sheetFormatPr defaultColWidth="12.59765625" defaultRowHeight="15" customHeight="1" x14ac:dyDescent="0.25"/>
  <cols>
    <col min="1" max="1" width="2.8984375" customWidth="1"/>
    <col min="2" max="2" width="10.59765625" customWidth="1"/>
    <col min="3" max="3" width="14.19921875" bestFit="1" customWidth="1"/>
    <col min="4" max="4" width="11" customWidth="1"/>
    <col min="5" max="5" width="104.09765625" customWidth="1"/>
    <col min="6" max="6" width="8.5" customWidth="1"/>
    <col min="7" max="7" width="20.69921875" bestFit="1" customWidth="1"/>
    <col min="8" max="8" width="13.5" bestFit="1" customWidth="1"/>
    <col min="9" max="9" width="14.69921875" customWidth="1"/>
    <col min="10" max="10" width="12" bestFit="1" customWidth="1"/>
    <col min="11" max="11" width="14.19921875" bestFit="1" customWidth="1"/>
    <col min="12" max="12" width="22.8984375" customWidth="1"/>
    <col min="13" max="25" width="7.59765625" customWidth="1"/>
  </cols>
  <sheetData>
    <row r="1" spans="1:25" ht="18.75" customHeight="1" x14ac:dyDescent="0.25">
      <c r="A1" s="94"/>
      <c r="B1" s="95"/>
      <c r="C1" s="96"/>
      <c r="D1" s="97"/>
      <c r="E1" s="97"/>
      <c r="F1" s="98"/>
      <c r="G1" s="99"/>
      <c r="H1" s="98"/>
      <c r="I1" s="100"/>
      <c r="J1" s="100"/>
      <c r="K1" s="10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8.75" customHeight="1" x14ac:dyDescent="0.25">
      <c r="A2" s="94"/>
      <c r="B2" s="426" t="s">
        <v>950</v>
      </c>
      <c r="C2" s="427"/>
      <c r="D2" s="427"/>
      <c r="E2" s="427"/>
      <c r="F2" s="427"/>
      <c r="G2" s="427"/>
      <c r="H2" s="427"/>
      <c r="I2" s="427"/>
      <c r="J2" s="427"/>
      <c r="K2" s="427"/>
      <c r="L2" s="42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4"/>
    </row>
    <row r="3" spans="1:25" ht="18.75" customHeight="1" x14ac:dyDescent="0.25">
      <c r="A3" s="94"/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4"/>
    </row>
    <row r="4" spans="1:25" ht="18.75" customHeight="1" x14ac:dyDescent="0.25">
      <c r="A4" s="94"/>
      <c r="B4" s="429"/>
      <c r="C4" s="430"/>
      <c r="D4" s="430"/>
      <c r="E4" s="430"/>
      <c r="F4" s="430"/>
      <c r="G4" s="430"/>
      <c r="H4" s="430"/>
      <c r="I4" s="430"/>
      <c r="J4" s="430"/>
      <c r="K4" s="430"/>
      <c r="L4" s="431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4"/>
    </row>
    <row r="5" spans="1:25" ht="18.75" customHeight="1" x14ac:dyDescent="0.25">
      <c r="A5" s="94"/>
      <c r="B5" s="429"/>
      <c r="C5" s="430"/>
      <c r="D5" s="430"/>
      <c r="E5" s="430"/>
      <c r="F5" s="430"/>
      <c r="G5" s="430"/>
      <c r="H5" s="430"/>
      <c r="I5" s="430"/>
      <c r="J5" s="430"/>
      <c r="K5" s="430"/>
      <c r="L5" s="43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4"/>
    </row>
    <row r="6" spans="1:25" ht="18.75" customHeight="1" x14ac:dyDescent="0.25">
      <c r="A6" s="94"/>
      <c r="B6" s="432"/>
      <c r="C6" s="433"/>
      <c r="D6" s="433"/>
      <c r="E6" s="433"/>
      <c r="F6" s="433"/>
      <c r="G6" s="433"/>
      <c r="H6" s="433"/>
      <c r="I6" s="433"/>
      <c r="J6" s="433"/>
      <c r="K6" s="433"/>
      <c r="L6" s="43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4"/>
    </row>
    <row r="7" spans="1:25" ht="15" customHeight="1" x14ac:dyDescent="0.25">
      <c r="A7" s="94"/>
      <c r="B7" s="95"/>
      <c r="C7" s="96"/>
      <c r="D7" s="4"/>
      <c r="E7" s="97"/>
      <c r="F7" s="9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4"/>
    </row>
    <row r="8" spans="1:25" ht="15" customHeight="1" x14ac:dyDescent="0.25">
      <c r="A8" s="94"/>
      <c r="B8" s="102" t="str">
        <f>'DADOS GERAIS'!$B$8</f>
        <v>Secretaria de Atenção Especializada à Saúde</v>
      </c>
      <c r="C8" s="103"/>
      <c r="D8" s="6"/>
      <c r="E8" s="201"/>
      <c r="F8" s="104"/>
      <c r="G8" s="6" t="str">
        <f>RESUMO!D8</f>
        <v>BDI Geral:</v>
      </c>
      <c r="H8" s="201"/>
      <c r="I8" s="6" t="str">
        <f>RESUMO!E8</f>
        <v>Encargo Social Mensalista:</v>
      </c>
      <c r="J8" s="105"/>
      <c r="K8" s="105"/>
      <c r="L8" s="53" t="str">
        <f>'DADOS GERAIS'!$B$22</f>
        <v>Data: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4"/>
    </row>
    <row r="9" spans="1:25" ht="15" customHeight="1" x14ac:dyDescent="0.25">
      <c r="A9" s="94"/>
      <c r="B9" s="54" t="str">
        <f>'DADOS GERAIS'!$B$9</f>
        <v>Unidade Básica de Saúde Porte 1 - Área Construída: 389,78m²</v>
      </c>
      <c r="C9" s="106"/>
      <c r="D9" s="9"/>
      <c r="E9" s="9"/>
      <c r="F9" s="45"/>
      <c r="G9" s="108">
        <f>RESUMO!D9</f>
        <v>0.24880703423586414</v>
      </c>
      <c r="H9" s="108"/>
      <c r="I9" s="108">
        <f>RESUMO!E9</f>
        <v>0.71460000000000001</v>
      </c>
      <c r="J9" s="107"/>
      <c r="L9" s="57" t="str">
        <f>'DADOS GERAIS'!$C$22</f>
        <v>19/12/2024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4"/>
    </row>
    <row r="10" spans="1:25" ht="15" customHeight="1" x14ac:dyDescent="0.25">
      <c r="A10" s="94"/>
      <c r="B10" s="54"/>
      <c r="C10" s="106"/>
      <c r="D10" s="9"/>
      <c r="E10" s="9"/>
      <c r="F10" s="109"/>
      <c r="G10" s="9"/>
      <c r="H10" s="9"/>
      <c r="I10" s="44"/>
      <c r="J10" s="44"/>
      <c r="L10" s="110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4"/>
    </row>
    <row r="11" spans="1:25" ht="15" customHeight="1" x14ac:dyDescent="0.25">
      <c r="A11" s="94"/>
      <c r="B11" s="60" t="str">
        <f>RESUMO!B11</f>
        <v>Bancos:</v>
      </c>
      <c r="C11" s="106"/>
      <c r="D11" s="9"/>
      <c r="E11" s="9"/>
      <c r="F11" s="109"/>
      <c r="G11" s="9" t="str">
        <f>RESUMO!D11</f>
        <v>BDI Equipamentos:</v>
      </c>
      <c r="H11" s="9"/>
      <c r="I11" s="111" t="str">
        <f>RESUMO!E11</f>
        <v>Encargo Social Horista:</v>
      </c>
      <c r="J11" s="44"/>
      <c r="L11" s="59" t="str">
        <f>'DADOS GERAIS'!$B$23</f>
        <v>Revisão: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4"/>
    </row>
    <row r="12" spans="1:25" ht="15" customHeight="1" x14ac:dyDescent="0.25">
      <c r="A12" s="94"/>
      <c r="B12" s="112" t="str">
        <f>'DADOS GERAIS'!$B$12</f>
        <v>SINAPI (08/2024) - CPOS/CDHU (09/2024) - SBC (03/2024) - ORSE (09/2024) - EMOP (03/2024)</v>
      </c>
      <c r="C12" s="106"/>
      <c r="D12" s="9"/>
      <c r="E12" s="9"/>
      <c r="F12" s="109"/>
      <c r="G12" s="108">
        <f>RESUMO!D12</f>
        <v>0.15599027382875574</v>
      </c>
      <c r="H12" s="108"/>
      <c r="I12" s="108">
        <f>RESUMO!E12</f>
        <v>1.1553798000000002</v>
      </c>
      <c r="J12" s="113"/>
      <c r="L12" s="114" t="str">
        <f>'DADOS GERAIS'!$C$23</f>
        <v>02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4"/>
    </row>
    <row r="13" spans="1:25" ht="15" customHeight="1" x14ac:dyDescent="0.25">
      <c r="A13" s="94"/>
      <c r="B13" s="115"/>
      <c r="C13" s="116"/>
      <c r="D13" s="14"/>
      <c r="E13" s="202"/>
      <c r="F13" s="117"/>
      <c r="G13" s="14"/>
      <c r="H13" s="202"/>
      <c r="I13" s="202"/>
      <c r="J13" s="118"/>
      <c r="K13" s="118"/>
      <c r="L13" s="119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4"/>
    </row>
    <row r="14" spans="1:25" ht="15" customHeight="1" x14ac:dyDescent="0.25">
      <c r="A14" s="94"/>
      <c r="B14" s="95"/>
      <c r="C14" s="123"/>
      <c r="D14" s="48"/>
      <c r="E14" s="124"/>
      <c r="F14" s="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4"/>
    </row>
    <row r="15" spans="1:25" ht="15" customHeight="1" x14ac:dyDescent="0.25">
      <c r="A15" s="125"/>
      <c r="B15" s="143" t="s">
        <v>27</v>
      </c>
      <c r="C15" s="126" t="s">
        <v>28</v>
      </c>
      <c r="D15" s="143" t="s">
        <v>29</v>
      </c>
      <c r="E15" s="143" t="s">
        <v>30</v>
      </c>
      <c r="F15" s="180"/>
      <c r="G15" s="144" t="s">
        <v>31</v>
      </c>
      <c r="H15" s="144" t="s">
        <v>31</v>
      </c>
      <c r="I15" s="144" t="s">
        <v>32</v>
      </c>
      <c r="J15" s="144"/>
      <c r="K15" s="203"/>
      <c r="L15" s="144" t="s">
        <v>35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15.6" x14ac:dyDescent="0.25">
      <c r="A16" s="94"/>
      <c r="B16" s="127"/>
      <c r="C16" s="128"/>
      <c r="D16" s="128"/>
      <c r="E16" s="211"/>
      <c r="F16" s="130"/>
      <c r="G16" s="131"/>
      <c r="H16" s="128"/>
      <c r="I16" s="132"/>
      <c r="J16" s="132"/>
      <c r="K16" s="10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x14ac:dyDescent="0.25">
      <c r="A17" s="94"/>
      <c r="B17" s="435" t="s">
        <v>393</v>
      </c>
      <c r="C17" s="436"/>
      <c r="D17" s="436"/>
      <c r="E17" s="437"/>
      <c r="F17" s="436"/>
      <c r="G17" s="436"/>
      <c r="H17" s="436"/>
      <c r="I17" s="436"/>
      <c r="J17" s="436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x14ac:dyDescent="0.25">
      <c r="B18" s="185" t="s">
        <v>514</v>
      </c>
      <c r="C18" s="186" t="s">
        <v>28</v>
      </c>
      <c r="D18" s="185" t="s">
        <v>29</v>
      </c>
      <c r="E18" s="185" t="s">
        <v>30</v>
      </c>
      <c r="F18" s="422" t="s">
        <v>314</v>
      </c>
      <c r="G18" s="422"/>
      <c r="H18" s="187" t="s">
        <v>31</v>
      </c>
      <c r="I18" s="186" t="s">
        <v>32</v>
      </c>
      <c r="J18" s="186" t="s">
        <v>1134</v>
      </c>
      <c r="K18" s="186" t="s">
        <v>33</v>
      </c>
      <c r="L18" s="186" t="s">
        <v>35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26.25" customHeight="1" x14ac:dyDescent="0.25">
      <c r="B19" s="181" t="s">
        <v>315</v>
      </c>
      <c r="C19" s="182" t="s">
        <v>964</v>
      </c>
      <c r="D19" s="181" t="s">
        <v>98</v>
      </c>
      <c r="E19" s="181" t="s">
        <v>965</v>
      </c>
      <c r="F19" s="423" t="s">
        <v>915</v>
      </c>
      <c r="G19" s="423"/>
      <c r="H19" s="183" t="s">
        <v>43</v>
      </c>
      <c r="I19" s="252">
        <v>1</v>
      </c>
      <c r="J19" s="184"/>
      <c r="K19" s="184"/>
      <c r="L19" s="184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26.25" customHeight="1" x14ac:dyDescent="0.25">
      <c r="B20" s="196" t="s">
        <v>333</v>
      </c>
      <c r="C20" s="197" t="s">
        <v>1135</v>
      </c>
      <c r="D20" s="196" t="s">
        <v>98</v>
      </c>
      <c r="E20" s="196" t="s">
        <v>965</v>
      </c>
      <c r="F20" s="425" t="s">
        <v>385</v>
      </c>
      <c r="G20" s="425"/>
      <c r="H20" s="198" t="s">
        <v>43</v>
      </c>
      <c r="I20" s="199">
        <v>1</v>
      </c>
      <c r="J20" s="199">
        <v>0</v>
      </c>
      <c r="K20" s="200"/>
      <c r="L20" s="200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26.25" customHeight="1" x14ac:dyDescent="0.25">
      <c r="B21" s="193"/>
      <c r="C21" s="193"/>
      <c r="D21" s="193"/>
      <c r="E21" s="193"/>
      <c r="F21" s="193"/>
      <c r="G21" s="193" t="s">
        <v>324</v>
      </c>
      <c r="H21" s="194"/>
      <c r="I21" s="193" t="s">
        <v>325</v>
      </c>
      <c r="J21" s="194">
        <v>0</v>
      </c>
      <c r="K21" s="193" t="s">
        <v>326</v>
      </c>
      <c r="L21" s="19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26.25" customHeight="1" thickBot="1" x14ac:dyDescent="0.3">
      <c r="B22" s="193"/>
      <c r="C22" s="193"/>
      <c r="D22" s="193"/>
      <c r="E22" s="193"/>
      <c r="F22" s="193"/>
      <c r="G22" s="193" t="s">
        <v>327</v>
      </c>
      <c r="H22" s="194"/>
      <c r="I22" s="421"/>
      <c r="J22" s="421" t="s">
        <v>328</v>
      </c>
      <c r="K22" s="193"/>
      <c r="L22" s="194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26.25" customHeight="1" thickTop="1" x14ac:dyDescent="0.25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5.75" customHeight="1" x14ac:dyDescent="0.25">
      <c r="B24" s="185" t="s">
        <v>812</v>
      </c>
      <c r="C24" s="186" t="s">
        <v>28</v>
      </c>
      <c r="D24" s="185" t="s">
        <v>29</v>
      </c>
      <c r="E24" s="185" t="s">
        <v>30</v>
      </c>
      <c r="F24" s="422" t="s">
        <v>314</v>
      </c>
      <c r="G24" s="422"/>
      <c r="H24" s="187" t="s">
        <v>31</v>
      </c>
      <c r="I24" s="186" t="s">
        <v>32</v>
      </c>
      <c r="J24" s="186" t="s">
        <v>1134</v>
      </c>
      <c r="K24" s="186" t="s">
        <v>33</v>
      </c>
      <c r="L24" s="186" t="s">
        <v>35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ht="15.75" customHeight="1" x14ac:dyDescent="0.25">
      <c r="B25" s="181" t="s">
        <v>315</v>
      </c>
      <c r="C25" s="182" t="s">
        <v>307</v>
      </c>
      <c r="D25" s="181" t="s">
        <v>98</v>
      </c>
      <c r="E25" s="181" t="s">
        <v>308</v>
      </c>
      <c r="F25" s="423" t="s">
        <v>389</v>
      </c>
      <c r="G25" s="423"/>
      <c r="H25" s="183" t="s">
        <v>309</v>
      </c>
      <c r="I25" s="252">
        <v>1</v>
      </c>
      <c r="J25" s="184"/>
      <c r="K25" s="184"/>
      <c r="L25" s="184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5.75" customHeight="1" x14ac:dyDescent="0.25">
      <c r="B26" s="188" t="s">
        <v>316</v>
      </c>
      <c r="C26" s="189" t="s">
        <v>390</v>
      </c>
      <c r="D26" s="188" t="s">
        <v>40</v>
      </c>
      <c r="E26" s="188" t="s">
        <v>1136</v>
      </c>
      <c r="F26" s="424" t="s">
        <v>319</v>
      </c>
      <c r="G26" s="424"/>
      <c r="H26" s="190" t="s">
        <v>41</v>
      </c>
      <c r="I26" s="191">
        <v>0.41599999999999998</v>
      </c>
      <c r="J26" s="191">
        <v>0</v>
      </c>
      <c r="K26" s="192"/>
      <c r="L26" s="192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5.75" customHeight="1" x14ac:dyDescent="0.25">
      <c r="B27" s="196" t="s">
        <v>333</v>
      </c>
      <c r="C27" s="197" t="s">
        <v>391</v>
      </c>
      <c r="D27" s="196" t="s">
        <v>40</v>
      </c>
      <c r="E27" s="196" t="s">
        <v>392</v>
      </c>
      <c r="F27" s="425" t="s">
        <v>340</v>
      </c>
      <c r="G27" s="425"/>
      <c r="H27" s="198" t="s">
        <v>798</v>
      </c>
      <c r="I27" s="199">
        <v>1</v>
      </c>
      <c r="J27" s="199">
        <v>0</v>
      </c>
      <c r="K27" s="200"/>
      <c r="L27" s="20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5.75" customHeight="1" x14ac:dyDescent="0.25">
      <c r="B28" s="193"/>
      <c r="C28" s="193"/>
      <c r="D28" s="193"/>
      <c r="E28" s="193"/>
      <c r="F28" s="193"/>
      <c r="G28" s="193" t="s">
        <v>324</v>
      </c>
      <c r="H28" s="194"/>
      <c r="I28" s="193" t="s">
        <v>325</v>
      </c>
      <c r="J28" s="194">
        <v>0</v>
      </c>
      <c r="K28" s="193" t="s">
        <v>326</v>
      </c>
      <c r="L28" s="194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26.25" customHeight="1" thickBot="1" x14ac:dyDescent="0.3">
      <c r="B29" s="193"/>
      <c r="C29" s="193"/>
      <c r="D29" s="193"/>
      <c r="E29" s="193"/>
      <c r="F29" s="193"/>
      <c r="G29" s="193" t="s">
        <v>327</v>
      </c>
      <c r="H29" s="194"/>
      <c r="I29" s="421"/>
      <c r="J29" s="421" t="s">
        <v>328</v>
      </c>
      <c r="K29" s="193"/>
      <c r="L29" s="194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26.25" customHeight="1" thickTop="1" x14ac:dyDescent="0.25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ht="26.25" customHeight="1" x14ac:dyDescent="0.25">
      <c r="B31" s="185" t="s">
        <v>97</v>
      </c>
      <c r="C31" s="186" t="s">
        <v>28</v>
      </c>
      <c r="D31" s="185" t="s">
        <v>29</v>
      </c>
      <c r="E31" s="185" t="s">
        <v>30</v>
      </c>
      <c r="F31" s="422" t="s">
        <v>314</v>
      </c>
      <c r="G31" s="422"/>
      <c r="H31" s="187" t="s">
        <v>31</v>
      </c>
      <c r="I31" s="186" t="s">
        <v>32</v>
      </c>
      <c r="J31" s="186" t="s">
        <v>1134</v>
      </c>
      <c r="K31" s="186" t="s">
        <v>33</v>
      </c>
      <c r="L31" s="186" t="s">
        <v>35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26.25" customHeight="1" x14ac:dyDescent="0.25">
      <c r="B32" s="181" t="s">
        <v>315</v>
      </c>
      <c r="C32" s="182" t="s">
        <v>977</v>
      </c>
      <c r="D32" s="181" t="s">
        <v>98</v>
      </c>
      <c r="E32" s="181" t="s">
        <v>978</v>
      </c>
      <c r="F32" s="423" t="s">
        <v>329</v>
      </c>
      <c r="G32" s="423"/>
      <c r="H32" s="183" t="s">
        <v>58</v>
      </c>
      <c r="I32" s="252">
        <v>1</v>
      </c>
      <c r="J32" s="184"/>
      <c r="K32" s="184"/>
      <c r="L32" s="184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2:25" ht="26.25" customHeight="1" x14ac:dyDescent="0.25">
      <c r="B33" s="188" t="s">
        <v>316</v>
      </c>
      <c r="C33" s="189" t="s">
        <v>317</v>
      </c>
      <c r="D33" s="188" t="s">
        <v>40</v>
      </c>
      <c r="E33" s="188" t="s">
        <v>318</v>
      </c>
      <c r="F33" s="424" t="s">
        <v>319</v>
      </c>
      <c r="G33" s="424"/>
      <c r="H33" s="190" t="s">
        <v>320</v>
      </c>
      <c r="I33" s="191">
        <v>1.345</v>
      </c>
      <c r="J33" s="191">
        <v>0</v>
      </c>
      <c r="K33" s="192"/>
      <c r="L33" s="192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2:25" ht="26.25" customHeight="1" x14ac:dyDescent="0.25">
      <c r="B34" s="188" t="s">
        <v>316</v>
      </c>
      <c r="C34" s="189" t="s">
        <v>350</v>
      </c>
      <c r="D34" s="188" t="s">
        <v>40</v>
      </c>
      <c r="E34" s="188" t="s">
        <v>351</v>
      </c>
      <c r="F34" s="424" t="s">
        <v>319</v>
      </c>
      <c r="G34" s="424"/>
      <c r="H34" s="190" t="s">
        <v>320</v>
      </c>
      <c r="I34" s="191">
        <v>0.224</v>
      </c>
      <c r="J34" s="191">
        <v>0</v>
      </c>
      <c r="K34" s="192"/>
      <c r="L34" s="192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2:25" ht="26.25" customHeight="1" x14ac:dyDescent="0.25">
      <c r="B35" s="188" t="s">
        <v>316</v>
      </c>
      <c r="C35" s="189" t="s">
        <v>354</v>
      </c>
      <c r="D35" s="188" t="s">
        <v>40</v>
      </c>
      <c r="E35" s="188" t="s">
        <v>355</v>
      </c>
      <c r="F35" s="424" t="s">
        <v>321</v>
      </c>
      <c r="G35" s="424"/>
      <c r="H35" s="190" t="s">
        <v>322</v>
      </c>
      <c r="I35" s="191">
        <v>0.13</v>
      </c>
      <c r="J35" s="191">
        <v>0</v>
      </c>
      <c r="K35" s="192"/>
      <c r="L35" s="192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2:25" ht="26.25" customHeight="1" x14ac:dyDescent="0.25">
      <c r="B36" s="188" t="s">
        <v>316</v>
      </c>
      <c r="C36" s="189" t="s">
        <v>330</v>
      </c>
      <c r="D36" s="188" t="s">
        <v>40</v>
      </c>
      <c r="E36" s="188" t="s">
        <v>331</v>
      </c>
      <c r="F36" s="424" t="s">
        <v>319</v>
      </c>
      <c r="G36" s="424"/>
      <c r="H36" s="190" t="s">
        <v>320</v>
      </c>
      <c r="I36" s="191">
        <v>0.224</v>
      </c>
      <c r="J36" s="191">
        <v>0</v>
      </c>
      <c r="K36" s="192"/>
      <c r="L36" s="192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2:25" ht="26.25" customHeight="1" x14ac:dyDescent="0.25">
      <c r="B37" s="188" t="s">
        <v>316</v>
      </c>
      <c r="C37" s="189" t="s">
        <v>352</v>
      </c>
      <c r="D37" s="188" t="s">
        <v>40</v>
      </c>
      <c r="E37" s="188" t="s">
        <v>353</v>
      </c>
      <c r="F37" s="424" t="s">
        <v>321</v>
      </c>
      <c r="G37" s="424"/>
      <c r="H37" s="190" t="s">
        <v>323</v>
      </c>
      <c r="I37" s="191">
        <v>9.4E-2</v>
      </c>
      <c r="J37" s="191">
        <v>0</v>
      </c>
      <c r="K37" s="192"/>
      <c r="L37" s="192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2:25" ht="26.25" customHeight="1" x14ac:dyDescent="0.25">
      <c r="B38" s="196" t="s">
        <v>333</v>
      </c>
      <c r="C38" s="197" t="s">
        <v>1137</v>
      </c>
      <c r="D38" s="196" t="s">
        <v>40</v>
      </c>
      <c r="E38" s="196" t="s">
        <v>1138</v>
      </c>
      <c r="F38" s="425" t="s">
        <v>334</v>
      </c>
      <c r="G38" s="425"/>
      <c r="H38" s="198" t="s">
        <v>799</v>
      </c>
      <c r="I38" s="199">
        <v>1.103</v>
      </c>
      <c r="J38" s="199">
        <v>0</v>
      </c>
      <c r="K38" s="200"/>
      <c r="L38" s="200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2:25" ht="26.25" customHeight="1" x14ac:dyDescent="0.25">
      <c r="B39" s="193"/>
      <c r="C39" s="193"/>
      <c r="D39" s="193"/>
      <c r="E39" s="193"/>
      <c r="F39" s="193"/>
      <c r="G39" s="193" t="s">
        <v>324</v>
      </c>
      <c r="H39" s="194"/>
      <c r="I39" s="193" t="s">
        <v>325</v>
      </c>
      <c r="J39" s="194">
        <v>0</v>
      </c>
      <c r="K39" s="193" t="s">
        <v>326</v>
      </c>
      <c r="L39" s="194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2:25" ht="26.25" customHeight="1" thickBot="1" x14ac:dyDescent="0.3">
      <c r="B40" s="193"/>
      <c r="C40" s="193"/>
      <c r="D40" s="193"/>
      <c r="E40" s="193"/>
      <c r="F40" s="193"/>
      <c r="G40" s="193" t="s">
        <v>327</v>
      </c>
      <c r="H40" s="194"/>
      <c r="I40" s="421"/>
      <c r="J40" s="421" t="s">
        <v>328</v>
      </c>
      <c r="K40" s="193"/>
      <c r="L40" s="194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2:25" ht="26.25" customHeight="1" thickTop="1" x14ac:dyDescent="0.25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2:25" ht="26.25" customHeight="1" x14ac:dyDescent="0.25">
      <c r="B42" s="185" t="s">
        <v>113</v>
      </c>
      <c r="C42" s="186" t="s">
        <v>28</v>
      </c>
      <c r="D42" s="185" t="s">
        <v>29</v>
      </c>
      <c r="E42" s="185" t="s">
        <v>30</v>
      </c>
      <c r="F42" s="422" t="s">
        <v>314</v>
      </c>
      <c r="G42" s="422"/>
      <c r="H42" s="187" t="s">
        <v>31</v>
      </c>
      <c r="I42" s="186" t="s">
        <v>32</v>
      </c>
      <c r="J42" s="186" t="s">
        <v>1134</v>
      </c>
      <c r="K42" s="186" t="s">
        <v>33</v>
      </c>
      <c r="L42" s="186" t="s">
        <v>35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2:25" ht="26.25" customHeight="1" x14ac:dyDescent="0.25">
      <c r="B43" s="181" t="s">
        <v>315</v>
      </c>
      <c r="C43" s="182" t="s">
        <v>981</v>
      </c>
      <c r="D43" s="181" t="s">
        <v>98</v>
      </c>
      <c r="E43" s="181" t="s">
        <v>982</v>
      </c>
      <c r="F43" s="423" t="s">
        <v>329</v>
      </c>
      <c r="G43" s="423"/>
      <c r="H43" s="183" t="s">
        <v>58</v>
      </c>
      <c r="I43" s="252">
        <v>1</v>
      </c>
      <c r="J43" s="184"/>
      <c r="K43" s="184"/>
      <c r="L43" s="184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2:25" ht="26.25" customHeight="1" x14ac:dyDescent="0.25">
      <c r="B44" s="188" t="s">
        <v>316</v>
      </c>
      <c r="C44" s="189" t="s">
        <v>354</v>
      </c>
      <c r="D44" s="188" t="s">
        <v>40</v>
      </c>
      <c r="E44" s="188" t="s">
        <v>355</v>
      </c>
      <c r="F44" s="424" t="s">
        <v>321</v>
      </c>
      <c r="G44" s="424"/>
      <c r="H44" s="190" t="s">
        <v>322</v>
      </c>
      <c r="I44" s="191">
        <v>0.13100000000000001</v>
      </c>
      <c r="J44" s="191">
        <v>0</v>
      </c>
      <c r="K44" s="192"/>
      <c r="L44" s="192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2:25" ht="26.25" customHeight="1" x14ac:dyDescent="0.25">
      <c r="B45" s="188" t="s">
        <v>316</v>
      </c>
      <c r="C45" s="189" t="s">
        <v>317</v>
      </c>
      <c r="D45" s="188" t="s">
        <v>40</v>
      </c>
      <c r="E45" s="188" t="s">
        <v>318</v>
      </c>
      <c r="F45" s="424" t="s">
        <v>319</v>
      </c>
      <c r="G45" s="424"/>
      <c r="H45" s="190" t="s">
        <v>320</v>
      </c>
      <c r="I45" s="191">
        <v>0.82599999999999996</v>
      </c>
      <c r="J45" s="191">
        <v>0</v>
      </c>
      <c r="K45" s="192"/>
      <c r="L45" s="192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2:25" ht="26.25" customHeight="1" x14ac:dyDescent="0.25">
      <c r="B46" s="188" t="s">
        <v>316</v>
      </c>
      <c r="C46" s="189" t="s">
        <v>350</v>
      </c>
      <c r="D46" s="188" t="s">
        <v>40</v>
      </c>
      <c r="E46" s="188" t="s">
        <v>351</v>
      </c>
      <c r="F46" s="424" t="s">
        <v>319</v>
      </c>
      <c r="G46" s="424"/>
      <c r="H46" s="190" t="s">
        <v>320</v>
      </c>
      <c r="I46" s="191">
        <v>0.753</v>
      </c>
      <c r="J46" s="191">
        <v>0</v>
      </c>
      <c r="K46" s="192"/>
      <c r="L46" s="192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4"/>
    </row>
    <row r="47" spans="2:25" ht="26.25" customHeight="1" x14ac:dyDescent="0.25">
      <c r="B47" s="188" t="s">
        <v>316</v>
      </c>
      <c r="C47" s="189" t="s">
        <v>352</v>
      </c>
      <c r="D47" s="188" t="s">
        <v>40</v>
      </c>
      <c r="E47" s="188" t="s">
        <v>353</v>
      </c>
      <c r="F47" s="424" t="s">
        <v>321</v>
      </c>
      <c r="G47" s="424"/>
      <c r="H47" s="190" t="s">
        <v>323</v>
      </c>
      <c r="I47" s="191">
        <v>0.12</v>
      </c>
      <c r="J47" s="191">
        <v>0</v>
      </c>
      <c r="K47" s="192"/>
      <c r="L47" s="192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4"/>
    </row>
    <row r="48" spans="2:25" ht="26.25" customHeight="1" x14ac:dyDescent="0.25">
      <c r="B48" s="188" t="s">
        <v>316</v>
      </c>
      <c r="C48" s="189" t="s">
        <v>330</v>
      </c>
      <c r="D48" s="188" t="s">
        <v>40</v>
      </c>
      <c r="E48" s="188" t="s">
        <v>331</v>
      </c>
      <c r="F48" s="424" t="s">
        <v>319</v>
      </c>
      <c r="G48" s="424"/>
      <c r="H48" s="190" t="s">
        <v>320</v>
      </c>
      <c r="I48" s="191">
        <v>0.125</v>
      </c>
      <c r="J48" s="191">
        <v>0</v>
      </c>
      <c r="K48" s="192"/>
      <c r="L48" s="192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4"/>
    </row>
    <row r="49" spans="2:25" ht="39" customHeight="1" x14ac:dyDescent="0.25">
      <c r="B49" s="196" t="s">
        <v>333</v>
      </c>
      <c r="C49" s="197" t="s">
        <v>1137</v>
      </c>
      <c r="D49" s="196" t="s">
        <v>40</v>
      </c>
      <c r="E49" s="196" t="s">
        <v>1138</v>
      </c>
      <c r="F49" s="425" t="s">
        <v>334</v>
      </c>
      <c r="G49" s="425"/>
      <c r="H49" s="198" t="s">
        <v>799</v>
      </c>
      <c r="I49" s="199">
        <v>1.103</v>
      </c>
      <c r="J49" s="199">
        <v>0</v>
      </c>
      <c r="K49" s="200"/>
      <c r="L49" s="200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4"/>
    </row>
    <row r="50" spans="2:25" ht="26.25" customHeight="1" x14ac:dyDescent="0.25">
      <c r="B50" s="193"/>
      <c r="C50" s="193"/>
      <c r="D50" s="193"/>
      <c r="E50" s="193"/>
      <c r="F50" s="193"/>
      <c r="G50" s="193" t="s">
        <v>324</v>
      </c>
      <c r="H50" s="194"/>
      <c r="I50" s="193" t="s">
        <v>325</v>
      </c>
      <c r="J50" s="194">
        <v>0</v>
      </c>
      <c r="K50" s="193" t="s">
        <v>326</v>
      </c>
      <c r="L50" s="194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4"/>
    </row>
    <row r="51" spans="2:25" ht="26.25" customHeight="1" thickBot="1" x14ac:dyDescent="0.3">
      <c r="B51" s="193"/>
      <c r="C51" s="193"/>
      <c r="D51" s="193"/>
      <c r="E51" s="193"/>
      <c r="F51" s="193"/>
      <c r="G51" s="193" t="s">
        <v>327</v>
      </c>
      <c r="H51" s="194"/>
      <c r="I51" s="421"/>
      <c r="J51" s="421" t="s">
        <v>328</v>
      </c>
      <c r="K51" s="193"/>
      <c r="L51" s="194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4"/>
    </row>
    <row r="52" spans="2:25" ht="26.25" customHeight="1" thickTop="1" x14ac:dyDescent="0.25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4"/>
    </row>
    <row r="53" spans="2:25" ht="26.25" customHeight="1" x14ac:dyDescent="0.25">
      <c r="B53" s="185" t="s">
        <v>131</v>
      </c>
      <c r="C53" s="186" t="s">
        <v>28</v>
      </c>
      <c r="D53" s="185" t="s">
        <v>29</v>
      </c>
      <c r="E53" s="185" t="s">
        <v>30</v>
      </c>
      <c r="F53" s="422" t="s">
        <v>314</v>
      </c>
      <c r="G53" s="422"/>
      <c r="H53" s="187" t="s">
        <v>31</v>
      </c>
      <c r="I53" s="186" t="s">
        <v>32</v>
      </c>
      <c r="J53" s="186" t="s">
        <v>1134</v>
      </c>
      <c r="K53" s="186" t="s">
        <v>33</v>
      </c>
      <c r="L53" s="186" t="s">
        <v>35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9"/>
    </row>
    <row r="54" spans="2:25" ht="26.25" customHeight="1" x14ac:dyDescent="0.25">
      <c r="B54" s="181" t="s">
        <v>315</v>
      </c>
      <c r="C54" s="182" t="s">
        <v>985</v>
      </c>
      <c r="D54" s="181" t="s">
        <v>98</v>
      </c>
      <c r="E54" s="181" t="s">
        <v>986</v>
      </c>
      <c r="F54" s="423">
        <v>13.01</v>
      </c>
      <c r="G54" s="423"/>
      <c r="H54" s="183" t="s">
        <v>41</v>
      </c>
      <c r="I54" s="252">
        <v>1</v>
      </c>
      <c r="J54" s="184"/>
      <c r="K54" s="184"/>
      <c r="L54" s="184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4"/>
    </row>
    <row r="55" spans="2:25" ht="26.25" customHeight="1" x14ac:dyDescent="0.25">
      <c r="B55" s="196" t="s">
        <v>333</v>
      </c>
      <c r="C55" s="197" t="s">
        <v>1139</v>
      </c>
      <c r="D55" s="196" t="s">
        <v>200</v>
      </c>
      <c r="E55" s="196" t="s">
        <v>1140</v>
      </c>
      <c r="F55" s="425" t="s">
        <v>334</v>
      </c>
      <c r="G55" s="425"/>
      <c r="H55" s="198" t="s">
        <v>41</v>
      </c>
      <c r="I55" s="199">
        <v>1</v>
      </c>
      <c r="J55" s="199">
        <v>0</v>
      </c>
      <c r="K55" s="200"/>
      <c r="L55" s="200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4"/>
    </row>
    <row r="56" spans="2:25" ht="26.25" customHeight="1" x14ac:dyDescent="0.25">
      <c r="B56" s="196" t="s">
        <v>333</v>
      </c>
      <c r="C56" s="197" t="s">
        <v>382</v>
      </c>
      <c r="D56" s="196" t="s">
        <v>200</v>
      </c>
      <c r="E56" s="196" t="s">
        <v>800</v>
      </c>
      <c r="F56" s="425" t="s">
        <v>379</v>
      </c>
      <c r="G56" s="425"/>
      <c r="H56" s="198" t="s">
        <v>378</v>
      </c>
      <c r="I56" s="199">
        <v>0.4</v>
      </c>
      <c r="J56" s="199">
        <v>0</v>
      </c>
      <c r="K56" s="200"/>
      <c r="L56" s="200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4"/>
    </row>
    <row r="57" spans="2:25" ht="26.25" customHeight="1" x14ac:dyDescent="0.25">
      <c r="B57" s="196" t="s">
        <v>333</v>
      </c>
      <c r="C57" s="197" t="s">
        <v>388</v>
      </c>
      <c r="D57" s="196" t="s">
        <v>200</v>
      </c>
      <c r="E57" s="196" t="s">
        <v>797</v>
      </c>
      <c r="F57" s="425" t="s">
        <v>379</v>
      </c>
      <c r="G57" s="425"/>
      <c r="H57" s="198" t="s">
        <v>378</v>
      </c>
      <c r="I57" s="199">
        <v>0.8</v>
      </c>
      <c r="J57" s="199">
        <v>0</v>
      </c>
      <c r="K57" s="200"/>
      <c r="L57" s="20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4"/>
    </row>
    <row r="58" spans="2:25" ht="26.25" customHeight="1" x14ac:dyDescent="0.25">
      <c r="B58" s="193"/>
      <c r="C58" s="193"/>
      <c r="D58" s="193"/>
      <c r="E58" s="193"/>
      <c r="F58" s="193"/>
      <c r="G58" s="193" t="s">
        <v>324</v>
      </c>
      <c r="H58" s="194"/>
      <c r="I58" s="193" t="s">
        <v>325</v>
      </c>
      <c r="J58" s="194">
        <v>0</v>
      </c>
      <c r="K58" s="193" t="s">
        <v>326</v>
      </c>
      <c r="L58" s="194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4"/>
    </row>
    <row r="59" spans="2:25" ht="26.25" customHeight="1" thickBot="1" x14ac:dyDescent="0.3">
      <c r="B59" s="193"/>
      <c r="C59" s="193"/>
      <c r="D59" s="193"/>
      <c r="E59" s="193"/>
      <c r="F59" s="193"/>
      <c r="G59" s="193" t="s">
        <v>327</v>
      </c>
      <c r="H59" s="194"/>
      <c r="I59" s="421"/>
      <c r="J59" s="421" t="s">
        <v>328</v>
      </c>
      <c r="K59" s="193"/>
      <c r="L59" s="194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4"/>
    </row>
    <row r="60" spans="2:25" ht="26.25" customHeight="1" thickTop="1" x14ac:dyDescent="0.25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4"/>
    </row>
    <row r="61" spans="2:25" ht="26.25" customHeight="1" x14ac:dyDescent="0.25">
      <c r="B61" s="185" t="s">
        <v>515</v>
      </c>
      <c r="C61" s="186" t="s">
        <v>28</v>
      </c>
      <c r="D61" s="185" t="s">
        <v>29</v>
      </c>
      <c r="E61" s="185" t="s">
        <v>30</v>
      </c>
      <c r="F61" s="422" t="s">
        <v>314</v>
      </c>
      <c r="G61" s="422"/>
      <c r="H61" s="187" t="s">
        <v>31</v>
      </c>
      <c r="I61" s="186" t="s">
        <v>32</v>
      </c>
      <c r="J61" s="186" t="s">
        <v>1134</v>
      </c>
      <c r="K61" s="186" t="s">
        <v>33</v>
      </c>
      <c r="L61" s="186" t="s">
        <v>35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9"/>
    </row>
    <row r="62" spans="2:25" ht="26.25" customHeight="1" x14ac:dyDescent="0.25">
      <c r="B62" s="181" t="s">
        <v>315</v>
      </c>
      <c r="C62" s="182" t="s">
        <v>517</v>
      </c>
      <c r="D62" s="181" t="s">
        <v>98</v>
      </c>
      <c r="E62" s="181" t="s">
        <v>805</v>
      </c>
      <c r="F62" s="423">
        <v>13.01</v>
      </c>
      <c r="G62" s="423"/>
      <c r="H62" s="183" t="s">
        <v>41</v>
      </c>
      <c r="I62" s="252">
        <v>1</v>
      </c>
      <c r="J62" s="184"/>
      <c r="K62" s="184"/>
      <c r="L62" s="184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4"/>
    </row>
    <row r="63" spans="2:25" ht="26.25" customHeight="1" x14ac:dyDescent="0.25">
      <c r="B63" s="196" t="s">
        <v>333</v>
      </c>
      <c r="C63" s="197" t="s">
        <v>388</v>
      </c>
      <c r="D63" s="196" t="s">
        <v>200</v>
      </c>
      <c r="E63" s="196" t="s">
        <v>797</v>
      </c>
      <c r="F63" s="425" t="s">
        <v>379</v>
      </c>
      <c r="G63" s="425"/>
      <c r="H63" s="198" t="s">
        <v>378</v>
      </c>
      <c r="I63" s="199">
        <v>0.8</v>
      </c>
      <c r="J63" s="199">
        <v>0</v>
      </c>
      <c r="K63" s="200"/>
      <c r="L63" s="200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4"/>
    </row>
    <row r="64" spans="2:25" ht="26.25" customHeight="1" x14ac:dyDescent="0.25">
      <c r="B64" s="196" t="s">
        <v>333</v>
      </c>
      <c r="C64" s="197" t="s">
        <v>382</v>
      </c>
      <c r="D64" s="196" t="s">
        <v>200</v>
      </c>
      <c r="E64" s="196" t="s">
        <v>800</v>
      </c>
      <c r="F64" s="425" t="s">
        <v>379</v>
      </c>
      <c r="G64" s="425"/>
      <c r="H64" s="198" t="s">
        <v>378</v>
      </c>
      <c r="I64" s="199">
        <v>0.4</v>
      </c>
      <c r="J64" s="199">
        <v>0</v>
      </c>
      <c r="K64" s="200"/>
      <c r="L64" s="200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4"/>
    </row>
    <row r="65" spans="2:25" ht="26.25" customHeight="1" x14ac:dyDescent="0.25">
      <c r="B65" s="196" t="s">
        <v>333</v>
      </c>
      <c r="C65" s="197" t="s">
        <v>762</v>
      </c>
      <c r="D65" s="196" t="s">
        <v>200</v>
      </c>
      <c r="E65" s="196" t="s">
        <v>801</v>
      </c>
      <c r="F65" s="425" t="s">
        <v>334</v>
      </c>
      <c r="G65" s="425"/>
      <c r="H65" s="198" t="s">
        <v>41</v>
      </c>
      <c r="I65" s="199">
        <v>1</v>
      </c>
      <c r="J65" s="199">
        <v>0</v>
      </c>
      <c r="K65" s="200"/>
      <c r="L65" s="200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4"/>
    </row>
    <row r="66" spans="2:25" ht="26.25" customHeight="1" x14ac:dyDescent="0.25">
      <c r="B66" s="193"/>
      <c r="C66" s="193"/>
      <c r="D66" s="193"/>
      <c r="E66" s="193"/>
      <c r="F66" s="193"/>
      <c r="G66" s="193" t="s">
        <v>324</v>
      </c>
      <c r="H66" s="194"/>
      <c r="I66" s="193" t="s">
        <v>325</v>
      </c>
      <c r="J66" s="194">
        <v>0</v>
      </c>
      <c r="K66" s="193" t="s">
        <v>326</v>
      </c>
      <c r="L66" s="194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4"/>
    </row>
    <row r="67" spans="2:25" ht="26.25" customHeight="1" thickBot="1" x14ac:dyDescent="0.3">
      <c r="B67" s="193"/>
      <c r="C67" s="193"/>
      <c r="D67" s="193"/>
      <c r="E67" s="193"/>
      <c r="F67" s="193"/>
      <c r="G67" s="193" t="s">
        <v>327</v>
      </c>
      <c r="H67" s="194"/>
      <c r="I67" s="421"/>
      <c r="J67" s="421" t="s">
        <v>328</v>
      </c>
      <c r="K67" s="193"/>
      <c r="L67" s="194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4"/>
    </row>
    <row r="68" spans="2:25" ht="26.25" customHeight="1" thickTop="1" x14ac:dyDescent="0.25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4"/>
    </row>
    <row r="69" spans="2:25" ht="26.25" customHeight="1" x14ac:dyDescent="0.25">
      <c r="B69" s="185" t="s">
        <v>516</v>
      </c>
      <c r="C69" s="186" t="s">
        <v>28</v>
      </c>
      <c r="D69" s="185" t="s">
        <v>29</v>
      </c>
      <c r="E69" s="185" t="s">
        <v>30</v>
      </c>
      <c r="F69" s="422" t="s">
        <v>314</v>
      </c>
      <c r="G69" s="422"/>
      <c r="H69" s="187" t="s">
        <v>31</v>
      </c>
      <c r="I69" s="186" t="s">
        <v>32</v>
      </c>
      <c r="J69" s="186" t="s">
        <v>1134</v>
      </c>
      <c r="K69" s="186" t="s">
        <v>33</v>
      </c>
      <c r="L69" s="186" t="s">
        <v>35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4"/>
    </row>
    <row r="70" spans="2:25" ht="26.25" customHeight="1" x14ac:dyDescent="0.25">
      <c r="B70" s="181" t="s">
        <v>315</v>
      </c>
      <c r="C70" s="182" t="s">
        <v>518</v>
      </c>
      <c r="D70" s="181" t="s">
        <v>98</v>
      </c>
      <c r="E70" s="181" t="s">
        <v>806</v>
      </c>
      <c r="F70" s="423">
        <v>13.01</v>
      </c>
      <c r="G70" s="423"/>
      <c r="H70" s="183" t="s">
        <v>41</v>
      </c>
      <c r="I70" s="252">
        <v>1</v>
      </c>
      <c r="J70" s="184"/>
      <c r="K70" s="184"/>
      <c r="L70" s="184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4"/>
    </row>
    <row r="71" spans="2:25" ht="26.25" customHeight="1" x14ac:dyDescent="0.25">
      <c r="B71" s="196" t="s">
        <v>333</v>
      </c>
      <c r="C71" s="197" t="s">
        <v>763</v>
      </c>
      <c r="D71" s="196" t="s">
        <v>200</v>
      </c>
      <c r="E71" s="196" t="s">
        <v>802</v>
      </c>
      <c r="F71" s="425" t="s">
        <v>334</v>
      </c>
      <c r="G71" s="425"/>
      <c r="H71" s="198" t="s">
        <v>41</v>
      </c>
      <c r="I71" s="199">
        <v>1</v>
      </c>
      <c r="J71" s="199">
        <v>0</v>
      </c>
      <c r="K71" s="200"/>
      <c r="L71" s="200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4"/>
    </row>
    <row r="72" spans="2:25" ht="26.25" customHeight="1" x14ac:dyDescent="0.25">
      <c r="B72" s="196" t="s">
        <v>333</v>
      </c>
      <c r="C72" s="197" t="s">
        <v>388</v>
      </c>
      <c r="D72" s="196" t="s">
        <v>200</v>
      </c>
      <c r="E72" s="196" t="s">
        <v>797</v>
      </c>
      <c r="F72" s="425" t="s">
        <v>379</v>
      </c>
      <c r="G72" s="425"/>
      <c r="H72" s="198" t="s">
        <v>378</v>
      </c>
      <c r="I72" s="199">
        <v>0.9</v>
      </c>
      <c r="J72" s="199">
        <v>0</v>
      </c>
      <c r="K72" s="200"/>
      <c r="L72" s="200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4"/>
    </row>
    <row r="73" spans="2:25" ht="26.25" customHeight="1" x14ac:dyDescent="0.25">
      <c r="B73" s="196" t="s">
        <v>333</v>
      </c>
      <c r="C73" s="197" t="s">
        <v>382</v>
      </c>
      <c r="D73" s="196" t="s">
        <v>200</v>
      </c>
      <c r="E73" s="196" t="s">
        <v>800</v>
      </c>
      <c r="F73" s="425" t="s">
        <v>379</v>
      </c>
      <c r="G73" s="425"/>
      <c r="H73" s="198" t="s">
        <v>378</v>
      </c>
      <c r="I73" s="199">
        <v>0.45</v>
      </c>
      <c r="J73" s="199">
        <v>0</v>
      </c>
      <c r="K73" s="200"/>
      <c r="L73" s="200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4"/>
    </row>
    <row r="74" spans="2:25" ht="26.25" customHeight="1" x14ac:dyDescent="0.25">
      <c r="B74" s="193"/>
      <c r="C74" s="193"/>
      <c r="D74" s="193"/>
      <c r="E74" s="193"/>
      <c r="F74" s="193"/>
      <c r="G74" s="193" t="s">
        <v>324</v>
      </c>
      <c r="H74" s="194"/>
      <c r="I74" s="193" t="s">
        <v>325</v>
      </c>
      <c r="J74" s="194">
        <v>0</v>
      </c>
      <c r="K74" s="193" t="s">
        <v>326</v>
      </c>
      <c r="L74" s="194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4"/>
    </row>
    <row r="75" spans="2:25" ht="26.25" customHeight="1" thickBot="1" x14ac:dyDescent="0.3">
      <c r="B75" s="193"/>
      <c r="C75" s="193"/>
      <c r="D75" s="193"/>
      <c r="E75" s="193"/>
      <c r="F75" s="193"/>
      <c r="G75" s="193" t="s">
        <v>327</v>
      </c>
      <c r="H75" s="194"/>
      <c r="I75" s="421"/>
      <c r="J75" s="421" t="s">
        <v>328</v>
      </c>
      <c r="K75" s="193"/>
      <c r="L75" s="194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4"/>
    </row>
    <row r="76" spans="2:25" ht="26.25" customHeight="1" thickTop="1" x14ac:dyDescent="0.25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4"/>
    </row>
    <row r="77" spans="2:25" ht="26.25" customHeight="1" x14ac:dyDescent="0.25">
      <c r="B77" s="185" t="s">
        <v>530</v>
      </c>
      <c r="C77" s="186" t="s">
        <v>28</v>
      </c>
      <c r="D77" s="185" t="s">
        <v>29</v>
      </c>
      <c r="E77" s="185" t="s">
        <v>30</v>
      </c>
      <c r="F77" s="422" t="s">
        <v>314</v>
      </c>
      <c r="G77" s="422"/>
      <c r="H77" s="187" t="s">
        <v>31</v>
      </c>
      <c r="I77" s="186" t="s">
        <v>32</v>
      </c>
      <c r="J77" s="186" t="s">
        <v>1134</v>
      </c>
      <c r="K77" s="186" t="s">
        <v>33</v>
      </c>
      <c r="L77" s="186" t="s">
        <v>35</v>
      </c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4"/>
    </row>
    <row r="78" spans="2:25" ht="26.25" customHeight="1" x14ac:dyDescent="0.25">
      <c r="B78" s="181" t="s">
        <v>315</v>
      </c>
      <c r="C78" s="182" t="s">
        <v>940</v>
      </c>
      <c r="D78" s="181" t="s">
        <v>98</v>
      </c>
      <c r="E78" s="181" t="s">
        <v>941</v>
      </c>
      <c r="F78" s="423" t="s">
        <v>337</v>
      </c>
      <c r="G78" s="423"/>
      <c r="H78" s="183" t="s">
        <v>41</v>
      </c>
      <c r="I78" s="252">
        <v>1</v>
      </c>
      <c r="J78" s="184"/>
      <c r="K78" s="184"/>
      <c r="L78" s="184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4"/>
    </row>
    <row r="79" spans="2:25" ht="26.25" customHeight="1" x14ac:dyDescent="0.25">
      <c r="B79" s="188" t="s">
        <v>316</v>
      </c>
      <c r="C79" s="189" t="s">
        <v>358</v>
      </c>
      <c r="D79" s="188" t="s">
        <v>40</v>
      </c>
      <c r="E79" s="188" t="s">
        <v>359</v>
      </c>
      <c r="F79" s="424" t="s">
        <v>319</v>
      </c>
      <c r="G79" s="424"/>
      <c r="H79" s="190" t="s">
        <v>320</v>
      </c>
      <c r="I79" s="191">
        <v>0.59499999999999997</v>
      </c>
      <c r="J79" s="191">
        <v>0</v>
      </c>
      <c r="K79" s="192"/>
      <c r="L79" s="19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4"/>
    </row>
    <row r="80" spans="2:25" ht="26.25" customHeight="1" x14ac:dyDescent="0.25">
      <c r="B80" s="188" t="s">
        <v>316</v>
      </c>
      <c r="C80" s="189" t="s">
        <v>317</v>
      </c>
      <c r="D80" s="188" t="s">
        <v>40</v>
      </c>
      <c r="E80" s="188" t="s">
        <v>318</v>
      </c>
      <c r="F80" s="424" t="s">
        <v>319</v>
      </c>
      <c r="G80" s="424"/>
      <c r="H80" s="190" t="s">
        <v>320</v>
      </c>
      <c r="I80" s="191">
        <v>0.19500000000000001</v>
      </c>
      <c r="J80" s="191">
        <v>0</v>
      </c>
      <c r="K80" s="192"/>
      <c r="L80" s="19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4"/>
    </row>
    <row r="81" spans="2:25" ht="26.25" customHeight="1" x14ac:dyDescent="0.25">
      <c r="B81" s="196" t="s">
        <v>333</v>
      </c>
      <c r="C81" s="197" t="s">
        <v>376</v>
      </c>
      <c r="D81" s="196" t="s">
        <v>40</v>
      </c>
      <c r="E81" s="196" t="s">
        <v>377</v>
      </c>
      <c r="F81" s="425" t="s">
        <v>334</v>
      </c>
      <c r="G81" s="425"/>
      <c r="H81" s="198" t="s">
        <v>43</v>
      </c>
      <c r="I81" s="199">
        <v>0.54410000000000003</v>
      </c>
      <c r="J81" s="199">
        <v>0</v>
      </c>
      <c r="K81" s="200"/>
      <c r="L81" s="200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4"/>
    </row>
    <row r="82" spans="2:25" ht="26.25" customHeight="1" x14ac:dyDescent="0.25">
      <c r="B82" s="196" t="s">
        <v>333</v>
      </c>
      <c r="C82" s="197" t="s">
        <v>942</v>
      </c>
      <c r="D82" s="196" t="s">
        <v>40</v>
      </c>
      <c r="E82" s="196" t="s">
        <v>943</v>
      </c>
      <c r="F82" s="425" t="s">
        <v>334</v>
      </c>
      <c r="G82" s="425"/>
      <c r="H82" s="198" t="s">
        <v>41</v>
      </c>
      <c r="I82" s="199">
        <v>2.1059999999999999</v>
      </c>
      <c r="J82" s="199">
        <v>0</v>
      </c>
      <c r="K82" s="200"/>
      <c r="L82" s="200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4"/>
    </row>
    <row r="83" spans="2:25" ht="26.25" customHeight="1" x14ac:dyDescent="0.25">
      <c r="B83" s="196" t="s">
        <v>333</v>
      </c>
      <c r="C83" s="197" t="s">
        <v>368</v>
      </c>
      <c r="D83" s="196" t="s">
        <v>40</v>
      </c>
      <c r="E83" s="196" t="s">
        <v>369</v>
      </c>
      <c r="F83" s="425" t="s">
        <v>334</v>
      </c>
      <c r="G83" s="425"/>
      <c r="H83" s="198" t="s">
        <v>54</v>
      </c>
      <c r="I83" s="199">
        <v>2.5026999999999999</v>
      </c>
      <c r="J83" s="199">
        <v>0</v>
      </c>
      <c r="K83" s="200"/>
      <c r="L83" s="200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4"/>
    </row>
    <row r="84" spans="2:25" ht="26.25" customHeight="1" x14ac:dyDescent="0.25">
      <c r="B84" s="196" t="s">
        <v>333</v>
      </c>
      <c r="C84" s="197" t="s">
        <v>366</v>
      </c>
      <c r="D84" s="196" t="s">
        <v>40</v>
      </c>
      <c r="E84" s="196" t="s">
        <v>367</v>
      </c>
      <c r="F84" s="425" t="s">
        <v>334</v>
      </c>
      <c r="G84" s="425"/>
      <c r="H84" s="198" t="s">
        <v>54</v>
      </c>
      <c r="I84" s="199">
        <v>2.9138999999999999</v>
      </c>
      <c r="J84" s="199">
        <v>0</v>
      </c>
      <c r="K84" s="200"/>
      <c r="L84" s="200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4"/>
    </row>
    <row r="85" spans="2:25" ht="26.25" customHeight="1" x14ac:dyDescent="0.25">
      <c r="B85" s="196" t="s">
        <v>333</v>
      </c>
      <c r="C85" s="197" t="s">
        <v>360</v>
      </c>
      <c r="D85" s="196" t="s">
        <v>40</v>
      </c>
      <c r="E85" s="196" t="s">
        <v>361</v>
      </c>
      <c r="F85" s="425" t="s">
        <v>334</v>
      </c>
      <c r="G85" s="425"/>
      <c r="H85" s="198" t="s">
        <v>357</v>
      </c>
      <c r="I85" s="199">
        <v>2.9600000000000001E-2</v>
      </c>
      <c r="J85" s="199">
        <v>0</v>
      </c>
      <c r="K85" s="200"/>
      <c r="L85" s="200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4"/>
    </row>
    <row r="86" spans="2:25" ht="26.25" customHeight="1" x14ac:dyDescent="0.25">
      <c r="B86" s="196" t="s">
        <v>333</v>
      </c>
      <c r="C86" s="197" t="s">
        <v>374</v>
      </c>
      <c r="D86" s="196" t="s">
        <v>40</v>
      </c>
      <c r="E86" s="196" t="s">
        <v>375</v>
      </c>
      <c r="F86" s="425" t="s">
        <v>334</v>
      </c>
      <c r="G86" s="425"/>
      <c r="H86" s="198" t="s">
        <v>43</v>
      </c>
      <c r="I86" s="199">
        <v>20.186800000000002</v>
      </c>
      <c r="J86" s="199">
        <v>0</v>
      </c>
      <c r="K86" s="200"/>
      <c r="L86" s="200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4"/>
    </row>
    <row r="87" spans="2:25" ht="26.25" customHeight="1" x14ac:dyDescent="0.25">
      <c r="B87" s="196" t="s">
        <v>333</v>
      </c>
      <c r="C87" s="197" t="s">
        <v>370</v>
      </c>
      <c r="D87" s="196" t="s">
        <v>40</v>
      </c>
      <c r="E87" s="196" t="s">
        <v>371</v>
      </c>
      <c r="F87" s="425" t="s">
        <v>334</v>
      </c>
      <c r="G87" s="425"/>
      <c r="H87" s="198" t="s">
        <v>54</v>
      </c>
      <c r="I87" s="199">
        <v>0.79249999999999998</v>
      </c>
      <c r="J87" s="199">
        <v>0</v>
      </c>
      <c r="K87" s="200"/>
      <c r="L87" s="200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4"/>
    </row>
    <row r="88" spans="2:25" ht="26.25" customHeight="1" x14ac:dyDescent="0.25">
      <c r="B88" s="196" t="s">
        <v>333</v>
      </c>
      <c r="C88" s="197" t="s">
        <v>372</v>
      </c>
      <c r="D88" s="196" t="s">
        <v>40</v>
      </c>
      <c r="E88" s="196" t="s">
        <v>373</v>
      </c>
      <c r="F88" s="425" t="s">
        <v>340</v>
      </c>
      <c r="G88" s="425"/>
      <c r="H88" s="198" t="s">
        <v>64</v>
      </c>
      <c r="I88" s="199">
        <v>1.0978000000000001</v>
      </c>
      <c r="J88" s="199">
        <v>0</v>
      </c>
      <c r="K88" s="200"/>
      <c r="L88" s="200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4"/>
    </row>
    <row r="89" spans="2:25" ht="26.25" customHeight="1" x14ac:dyDescent="0.25">
      <c r="B89" s="196" t="s">
        <v>333</v>
      </c>
      <c r="C89" s="197" t="s">
        <v>364</v>
      </c>
      <c r="D89" s="196" t="s">
        <v>40</v>
      </c>
      <c r="E89" s="196" t="s">
        <v>365</v>
      </c>
      <c r="F89" s="425" t="s">
        <v>334</v>
      </c>
      <c r="G89" s="425"/>
      <c r="H89" s="198" t="s">
        <v>54</v>
      </c>
      <c r="I89" s="199">
        <v>0.91169999999999995</v>
      </c>
      <c r="J89" s="199">
        <v>0</v>
      </c>
      <c r="K89" s="200"/>
      <c r="L89" s="200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4"/>
    </row>
    <row r="90" spans="2:25" ht="26.25" customHeight="1" x14ac:dyDescent="0.25">
      <c r="B90" s="193"/>
      <c r="C90" s="193"/>
      <c r="D90" s="193"/>
      <c r="E90" s="193"/>
      <c r="F90" s="193"/>
      <c r="G90" s="193" t="s">
        <v>324</v>
      </c>
      <c r="H90" s="194"/>
      <c r="I90" s="193" t="s">
        <v>325</v>
      </c>
      <c r="J90" s="194">
        <v>0</v>
      </c>
      <c r="K90" s="193" t="s">
        <v>326</v>
      </c>
      <c r="L90" s="194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4"/>
    </row>
    <row r="91" spans="2:25" ht="26.25" customHeight="1" thickBot="1" x14ac:dyDescent="0.3">
      <c r="B91" s="193"/>
      <c r="C91" s="193"/>
      <c r="D91" s="193"/>
      <c r="E91" s="193"/>
      <c r="F91" s="193"/>
      <c r="G91" s="193" t="s">
        <v>327</v>
      </c>
      <c r="H91" s="194"/>
      <c r="I91" s="421"/>
      <c r="J91" s="421" t="s">
        <v>328</v>
      </c>
      <c r="K91" s="193"/>
      <c r="L91" s="194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4"/>
    </row>
    <row r="92" spans="2:25" ht="26.25" customHeight="1" thickTop="1" x14ac:dyDescent="0.25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4"/>
    </row>
    <row r="93" spans="2:25" ht="26.25" customHeight="1" x14ac:dyDescent="0.25">
      <c r="B93" s="185" t="s">
        <v>531</v>
      </c>
      <c r="C93" s="186" t="s">
        <v>28</v>
      </c>
      <c r="D93" s="185" t="s">
        <v>29</v>
      </c>
      <c r="E93" s="185" t="s">
        <v>30</v>
      </c>
      <c r="F93" s="422" t="s">
        <v>314</v>
      </c>
      <c r="G93" s="422"/>
      <c r="H93" s="187" t="s">
        <v>31</v>
      </c>
      <c r="I93" s="186" t="s">
        <v>32</v>
      </c>
      <c r="J93" s="186" t="s">
        <v>1134</v>
      </c>
      <c r="K93" s="186" t="s">
        <v>33</v>
      </c>
      <c r="L93" s="186" t="s">
        <v>35</v>
      </c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4"/>
    </row>
    <row r="94" spans="2:25" ht="26.25" customHeight="1" x14ac:dyDescent="0.25">
      <c r="B94" s="181" t="s">
        <v>315</v>
      </c>
      <c r="C94" s="182" t="s">
        <v>989</v>
      </c>
      <c r="D94" s="181" t="s">
        <v>98</v>
      </c>
      <c r="E94" s="181" t="s">
        <v>990</v>
      </c>
      <c r="F94" s="423" t="s">
        <v>337</v>
      </c>
      <c r="G94" s="423"/>
      <c r="H94" s="183" t="s">
        <v>41</v>
      </c>
      <c r="I94" s="252">
        <v>1</v>
      </c>
      <c r="J94" s="184"/>
      <c r="K94" s="184"/>
      <c r="L94" s="184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4"/>
    </row>
    <row r="95" spans="2:25" ht="26.25" customHeight="1" x14ac:dyDescent="0.25">
      <c r="B95" s="188" t="s">
        <v>316</v>
      </c>
      <c r="C95" s="189" t="s">
        <v>358</v>
      </c>
      <c r="D95" s="188" t="s">
        <v>40</v>
      </c>
      <c r="E95" s="188" t="s">
        <v>359</v>
      </c>
      <c r="F95" s="424" t="s">
        <v>319</v>
      </c>
      <c r="G95" s="424"/>
      <c r="H95" s="190" t="s">
        <v>320</v>
      </c>
      <c r="I95" s="191">
        <v>0.59499999999999997</v>
      </c>
      <c r="J95" s="191">
        <v>0</v>
      </c>
      <c r="K95" s="192"/>
      <c r="L95" s="19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4"/>
    </row>
    <row r="96" spans="2:25" ht="26.25" customHeight="1" x14ac:dyDescent="0.25">
      <c r="B96" s="188" t="s">
        <v>316</v>
      </c>
      <c r="C96" s="189" t="s">
        <v>917</v>
      </c>
      <c r="D96" s="188" t="s">
        <v>144</v>
      </c>
      <c r="E96" s="188" t="s">
        <v>918</v>
      </c>
      <c r="F96" s="424" t="s">
        <v>920</v>
      </c>
      <c r="G96" s="424"/>
      <c r="H96" s="190" t="s">
        <v>41</v>
      </c>
      <c r="I96" s="191">
        <v>1.02</v>
      </c>
      <c r="J96" s="191">
        <v>0</v>
      </c>
      <c r="K96" s="192"/>
      <c r="L96" s="19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4"/>
    </row>
    <row r="97" spans="2:25" ht="26.25" customHeight="1" x14ac:dyDescent="0.25">
      <c r="B97" s="188" t="s">
        <v>316</v>
      </c>
      <c r="C97" s="189" t="s">
        <v>317</v>
      </c>
      <c r="D97" s="188" t="s">
        <v>40</v>
      </c>
      <c r="E97" s="188" t="s">
        <v>318</v>
      </c>
      <c r="F97" s="424" t="s">
        <v>319</v>
      </c>
      <c r="G97" s="424"/>
      <c r="H97" s="190" t="s">
        <v>320</v>
      </c>
      <c r="I97" s="191">
        <v>0.19500000000000001</v>
      </c>
      <c r="J97" s="191">
        <v>0</v>
      </c>
      <c r="K97" s="192"/>
      <c r="L97" s="19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4"/>
    </row>
    <row r="98" spans="2:25" ht="26.25" customHeight="1" x14ac:dyDescent="0.25">
      <c r="B98" s="196" t="s">
        <v>333</v>
      </c>
      <c r="C98" s="197" t="s">
        <v>368</v>
      </c>
      <c r="D98" s="196" t="s">
        <v>40</v>
      </c>
      <c r="E98" s="196" t="s">
        <v>369</v>
      </c>
      <c r="F98" s="425" t="s">
        <v>334</v>
      </c>
      <c r="G98" s="425"/>
      <c r="H98" s="198" t="s">
        <v>54</v>
      </c>
      <c r="I98" s="199">
        <v>2.5026999999999999</v>
      </c>
      <c r="J98" s="199">
        <v>0</v>
      </c>
      <c r="K98" s="200"/>
      <c r="L98" s="200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4"/>
    </row>
    <row r="99" spans="2:25" ht="26.25" customHeight="1" x14ac:dyDescent="0.25">
      <c r="B99" s="196" t="s">
        <v>333</v>
      </c>
      <c r="C99" s="197" t="s">
        <v>372</v>
      </c>
      <c r="D99" s="196" t="s">
        <v>40</v>
      </c>
      <c r="E99" s="196" t="s">
        <v>373</v>
      </c>
      <c r="F99" s="425" t="s">
        <v>340</v>
      </c>
      <c r="G99" s="425"/>
      <c r="H99" s="198" t="s">
        <v>64</v>
      </c>
      <c r="I99" s="199">
        <v>1.0978000000000001</v>
      </c>
      <c r="J99" s="199">
        <v>0</v>
      </c>
      <c r="K99" s="200"/>
      <c r="L99" s="200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4"/>
    </row>
    <row r="100" spans="2:25" ht="26.25" customHeight="1" x14ac:dyDescent="0.25">
      <c r="B100" s="196" t="s">
        <v>333</v>
      </c>
      <c r="C100" s="197" t="s">
        <v>362</v>
      </c>
      <c r="D100" s="196" t="s">
        <v>40</v>
      </c>
      <c r="E100" s="196" t="s">
        <v>363</v>
      </c>
      <c r="F100" s="425" t="s">
        <v>334</v>
      </c>
      <c r="G100" s="425"/>
      <c r="H100" s="198" t="s">
        <v>41</v>
      </c>
      <c r="I100" s="199">
        <v>2.1059999999999999</v>
      </c>
      <c r="J100" s="199">
        <v>0</v>
      </c>
      <c r="K100" s="200"/>
      <c r="L100" s="200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4"/>
    </row>
    <row r="101" spans="2:25" ht="26.25" customHeight="1" x14ac:dyDescent="0.25">
      <c r="B101" s="196" t="s">
        <v>333</v>
      </c>
      <c r="C101" s="197" t="s">
        <v>374</v>
      </c>
      <c r="D101" s="196" t="s">
        <v>40</v>
      </c>
      <c r="E101" s="196" t="s">
        <v>375</v>
      </c>
      <c r="F101" s="425" t="s">
        <v>334</v>
      </c>
      <c r="G101" s="425"/>
      <c r="H101" s="198" t="s">
        <v>43</v>
      </c>
      <c r="I101" s="199">
        <v>20.186800000000002</v>
      </c>
      <c r="J101" s="199">
        <v>0</v>
      </c>
      <c r="K101" s="200"/>
      <c r="L101" s="200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4"/>
    </row>
    <row r="102" spans="2:25" ht="26.25" customHeight="1" x14ac:dyDescent="0.25">
      <c r="B102" s="196" t="s">
        <v>333</v>
      </c>
      <c r="C102" s="197" t="s">
        <v>370</v>
      </c>
      <c r="D102" s="196" t="s">
        <v>40</v>
      </c>
      <c r="E102" s="196" t="s">
        <v>371</v>
      </c>
      <c r="F102" s="425" t="s">
        <v>334</v>
      </c>
      <c r="G102" s="425"/>
      <c r="H102" s="198" t="s">
        <v>54</v>
      </c>
      <c r="I102" s="199">
        <v>0.79249999999999998</v>
      </c>
      <c r="J102" s="199">
        <v>0</v>
      </c>
      <c r="K102" s="200"/>
      <c r="L102" s="200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4"/>
    </row>
    <row r="103" spans="2:25" ht="26.25" customHeight="1" x14ac:dyDescent="0.25">
      <c r="B103" s="196" t="s">
        <v>333</v>
      </c>
      <c r="C103" s="197" t="s">
        <v>360</v>
      </c>
      <c r="D103" s="196" t="s">
        <v>40</v>
      </c>
      <c r="E103" s="196" t="s">
        <v>361</v>
      </c>
      <c r="F103" s="425" t="s">
        <v>334</v>
      </c>
      <c r="G103" s="425"/>
      <c r="H103" s="198" t="s">
        <v>357</v>
      </c>
      <c r="I103" s="199">
        <v>2.9600000000000001E-2</v>
      </c>
      <c r="J103" s="199">
        <v>0</v>
      </c>
      <c r="K103" s="200"/>
      <c r="L103" s="200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4"/>
    </row>
    <row r="104" spans="2:25" ht="26.25" customHeight="1" x14ac:dyDescent="0.25">
      <c r="B104" s="196" t="s">
        <v>333</v>
      </c>
      <c r="C104" s="197" t="s">
        <v>376</v>
      </c>
      <c r="D104" s="196" t="s">
        <v>40</v>
      </c>
      <c r="E104" s="196" t="s">
        <v>377</v>
      </c>
      <c r="F104" s="425" t="s">
        <v>334</v>
      </c>
      <c r="G104" s="425"/>
      <c r="H104" s="198" t="s">
        <v>43</v>
      </c>
      <c r="I104" s="199">
        <v>0.54410000000000003</v>
      </c>
      <c r="J104" s="199">
        <v>0</v>
      </c>
      <c r="K104" s="200"/>
      <c r="L104" s="200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4"/>
    </row>
    <row r="105" spans="2:25" ht="26.25" customHeight="1" x14ac:dyDescent="0.25">
      <c r="B105" s="196" t="s">
        <v>333</v>
      </c>
      <c r="C105" s="197" t="s">
        <v>364</v>
      </c>
      <c r="D105" s="196" t="s">
        <v>40</v>
      </c>
      <c r="E105" s="196" t="s">
        <v>365</v>
      </c>
      <c r="F105" s="425" t="s">
        <v>334</v>
      </c>
      <c r="G105" s="425"/>
      <c r="H105" s="198" t="s">
        <v>54</v>
      </c>
      <c r="I105" s="199">
        <v>0.91169999999999995</v>
      </c>
      <c r="J105" s="199">
        <v>0</v>
      </c>
      <c r="K105" s="200"/>
      <c r="L105" s="200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4"/>
    </row>
    <row r="106" spans="2:25" ht="26.25" customHeight="1" x14ac:dyDescent="0.25">
      <c r="B106" s="196" t="s">
        <v>333</v>
      </c>
      <c r="C106" s="197" t="s">
        <v>366</v>
      </c>
      <c r="D106" s="196" t="s">
        <v>40</v>
      </c>
      <c r="E106" s="196" t="s">
        <v>367</v>
      </c>
      <c r="F106" s="425" t="s">
        <v>334</v>
      </c>
      <c r="G106" s="425"/>
      <c r="H106" s="198" t="s">
        <v>54</v>
      </c>
      <c r="I106" s="199">
        <v>2.9138999999999999</v>
      </c>
      <c r="J106" s="199">
        <v>0</v>
      </c>
      <c r="K106" s="200"/>
      <c r="L106" s="200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4"/>
    </row>
    <row r="107" spans="2:25" ht="26.25" customHeight="1" x14ac:dyDescent="0.25">
      <c r="B107" s="193"/>
      <c r="C107" s="193"/>
      <c r="D107" s="193"/>
      <c r="E107" s="193"/>
      <c r="F107" s="193"/>
      <c r="G107" s="193" t="s">
        <v>324</v>
      </c>
      <c r="H107" s="194"/>
      <c r="I107" s="193" t="s">
        <v>325</v>
      </c>
      <c r="J107" s="194">
        <v>0</v>
      </c>
      <c r="K107" s="193" t="s">
        <v>326</v>
      </c>
      <c r="L107" s="194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4"/>
    </row>
    <row r="108" spans="2:25" ht="26.25" customHeight="1" thickBot="1" x14ac:dyDescent="0.3">
      <c r="B108" s="193"/>
      <c r="C108" s="193"/>
      <c r="D108" s="193"/>
      <c r="E108" s="193"/>
      <c r="F108" s="193"/>
      <c r="G108" s="193" t="s">
        <v>327</v>
      </c>
      <c r="H108" s="194"/>
      <c r="I108" s="421"/>
      <c r="J108" s="421" t="s">
        <v>328</v>
      </c>
      <c r="K108" s="193"/>
      <c r="L108" s="194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4"/>
    </row>
    <row r="109" spans="2:25" ht="26.25" customHeight="1" thickTop="1" x14ac:dyDescent="0.25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4"/>
    </row>
    <row r="110" spans="2:25" ht="26.25" customHeight="1" x14ac:dyDescent="0.25">
      <c r="B110" s="185" t="s">
        <v>916</v>
      </c>
      <c r="C110" s="186" t="s">
        <v>28</v>
      </c>
      <c r="D110" s="185" t="s">
        <v>29</v>
      </c>
      <c r="E110" s="185" t="s">
        <v>30</v>
      </c>
      <c r="F110" s="422" t="s">
        <v>314</v>
      </c>
      <c r="G110" s="422"/>
      <c r="H110" s="187" t="s">
        <v>31</v>
      </c>
      <c r="I110" s="186" t="s">
        <v>32</v>
      </c>
      <c r="J110" s="186" t="s">
        <v>1134</v>
      </c>
      <c r="K110" s="186" t="s">
        <v>33</v>
      </c>
      <c r="L110" s="186" t="s">
        <v>35</v>
      </c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4"/>
    </row>
    <row r="111" spans="2:25" ht="26.25" customHeight="1" x14ac:dyDescent="0.25">
      <c r="B111" s="181" t="s">
        <v>315</v>
      </c>
      <c r="C111" s="182" t="s">
        <v>991</v>
      </c>
      <c r="D111" s="181" t="s">
        <v>98</v>
      </c>
      <c r="E111" s="181" t="s">
        <v>992</v>
      </c>
      <c r="F111" s="423" t="s">
        <v>337</v>
      </c>
      <c r="G111" s="423"/>
      <c r="H111" s="183" t="s">
        <v>41</v>
      </c>
      <c r="I111" s="252">
        <v>1</v>
      </c>
      <c r="J111" s="184"/>
      <c r="K111" s="184"/>
      <c r="L111" s="184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4"/>
    </row>
    <row r="112" spans="2:25" ht="26.25" customHeight="1" x14ac:dyDescent="0.25">
      <c r="B112" s="188" t="s">
        <v>316</v>
      </c>
      <c r="C112" s="189" t="s">
        <v>317</v>
      </c>
      <c r="D112" s="188" t="s">
        <v>40</v>
      </c>
      <c r="E112" s="188" t="s">
        <v>318</v>
      </c>
      <c r="F112" s="424" t="s">
        <v>319</v>
      </c>
      <c r="G112" s="424"/>
      <c r="H112" s="190" t="s">
        <v>320</v>
      </c>
      <c r="I112" s="191">
        <v>0.19500000000000001</v>
      </c>
      <c r="J112" s="191">
        <v>0</v>
      </c>
      <c r="K112" s="192"/>
      <c r="L112" s="19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4"/>
    </row>
    <row r="113" spans="2:25" ht="26.25" customHeight="1" x14ac:dyDescent="0.25">
      <c r="B113" s="188" t="s">
        <v>316</v>
      </c>
      <c r="C113" s="189" t="s">
        <v>917</v>
      </c>
      <c r="D113" s="188" t="s">
        <v>144</v>
      </c>
      <c r="E113" s="188" t="s">
        <v>918</v>
      </c>
      <c r="F113" s="424" t="s">
        <v>920</v>
      </c>
      <c r="G113" s="424"/>
      <c r="H113" s="190" t="s">
        <v>41</v>
      </c>
      <c r="I113" s="191">
        <v>1.02</v>
      </c>
      <c r="J113" s="191">
        <v>0</v>
      </c>
      <c r="K113" s="192"/>
      <c r="L113" s="19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4"/>
    </row>
    <row r="114" spans="2:25" ht="26.25" customHeight="1" x14ac:dyDescent="0.25">
      <c r="B114" s="188" t="s">
        <v>316</v>
      </c>
      <c r="C114" s="189" t="s">
        <v>358</v>
      </c>
      <c r="D114" s="188" t="s">
        <v>40</v>
      </c>
      <c r="E114" s="188" t="s">
        <v>359</v>
      </c>
      <c r="F114" s="424" t="s">
        <v>319</v>
      </c>
      <c r="G114" s="424"/>
      <c r="H114" s="190" t="s">
        <v>320</v>
      </c>
      <c r="I114" s="191">
        <v>0.59499999999999997</v>
      </c>
      <c r="J114" s="191">
        <v>0</v>
      </c>
      <c r="K114" s="192"/>
      <c r="L114" s="19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4"/>
    </row>
    <row r="115" spans="2:25" ht="26.25" customHeight="1" x14ac:dyDescent="0.25">
      <c r="B115" s="196" t="s">
        <v>333</v>
      </c>
      <c r="C115" s="197" t="s">
        <v>368</v>
      </c>
      <c r="D115" s="196" t="s">
        <v>40</v>
      </c>
      <c r="E115" s="196" t="s">
        <v>369</v>
      </c>
      <c r="F115" s="425" t="s">
        <v>334</v>
      </c>
      <c r="G115" s="425"/>
      <c r="H115" s="198" t="s">
        <v>54</v>
      </c>
      <c r="I115" s="199">
        <v>2.5026999999999999</v>
      </c>
      <c r="J115" s="199">
        <v>0</v>
      </c>
      <c r="K115" s="200"/>
      <c r="L115" s="200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4"/>
    </row>
    <row r="116" spans="2:25" ht="26.25" customHeight="1" x14ac:dyDescent="0.25">
      <c r="B116" s="196" t="s">
        <v>333</v>
      </c>
      <c r="C116" s="197" t="s">
        <v>376</v>
      </c>
      <c r="D116" s="196" t="s">
        <v>40</v>
      </c>
      <c r="E116" s="196" t="s">
        <v>377</v>
      </c>
      <c r="F116" s="425" t="s">
        <v>334</v>
      </c>
      <c r="G116" s="425"/>
      <c r="H116" s="198" t="s">
        <v>43</v>
      </c>
      <c r="I116" s="199">
        <v>0.54410000000000003</v>
      </c>
      <c r="J116" s="199">
        <v>0</v>
      </c>
      <c r="K116" s="200"/>
      <c r="L116" s="200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4"/>
    </row>
    <row r="117" spans="2:25" ht="26.25" customHeight="1" x14ac:dyDescent="0.25">
      <c r="B117" s="196" t="s">
        <v>333</v>
      </c>
      <c r="C117" s="197" t="s">
        <v>360</v>
      </c>
      <c r="D117" s="196" t="s">
        <v>40</v>
      </c>
      <c r="E117" s="196" t="s">
        <v>361</v>
      </c>
      <c r="F117" s="425" t="s">
        <v>334</v>
      </c>
      <c r="G117" s="425"/>
      <c r="H117" s="198" t="s">
        <v>357</v>
      </c>
      <c r="I117" s="199">
        <v>2.9600000000000001E-2</v>
      </c>
      <c r="J117" s="199">
        <v>0</v>
      </c>
      <c r="K117" s="200"/>
      <c r="L117" s="200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4"/>
    </row>
    <row r="118" spans="2:25" ht="26.25" customHeight="1" x14ac:dyDescent="0.25">
      <c r="B118" s="196" t="s">
        <v>333</v>
      </c>
      <c r="C118" s="197" t="s">
        <v>364</v>
      </c>
      <c r="D118" s="196" t="s">
        <v>40</v>
      </c>
      <c r="E118" s="196" t="s">
        <v>365</v>
      </c>
      <c r="F118" s="425" t="s">
        <v>334</v>
      </c>
      <c r="G118" s="425"/>
      <c r="H118" s="198" t="s">
        <v>54</v>
      </c>
      <c r="I118" s="199">
        <v>0.91169999999999995</v>
      </c>
      <c r="J118" s="199">
        <v>0</v>
      </c>
      <c r="K118" s="200"/>
      <c r="L118" s="200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4"/>
    </row>
    <row r="119" spans="2:25" ht="26.25" customHeight="1" x14ac:dyDescent="0.25">
      <c r="B119" s="196" t="s">
        <v>333</v>
      </c>
      <c r="C119" s="197" t="s">
        <v>366</v>
      </c>
      <c r="D119" s="196" t="s">
        <v>40</v>
      </c>
      <c r="E119" s="196" t="s">
        <v>367</v>
      </c>
      <c r="F119" s="425" t="s">
        <v>334</v>
      </c>
      <c r="G119" s="425"/>
      <c r="H119" s="198" t="s">
        <v>54</v>
      </c>
      <c r="I119" s="199">
        <v>2.9138999999999999</v>
      </c>
      <c r="J119" s="199">
        <v>0</v>
      </c>
      <c r="K119" s="200"/>
      <c r="L119" s="200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4"/>
    </row>
    <row r="120" spans="2:25" ht="26.25" customHeight="1" x14ac:dyDescent="0.25">
      <c r="B120" s="196" t="s">
        <v>333</v>
      </c>
      <c r="C120" s="197" t="s">
        <v>374</v>
      </c>
      <c r="D120" s="196" t="s">
        <v>40</v>
      </c>
      <c r="E120" s="196" t="s">
        <v>375</v>
      </c>
      <c r="F120" s="425" t="s">
        <v>334</v>
      </c>
      <c r="G120" s="425"/>
      <c r="H120" s="198" t="s">
        <v>43</v>
      </c>
      <c r="I120" s="199">
        <v>20.186800000000002</v>
      </c>
      <c r="J120" s="199">
        <v>0</v>
      </c>
      <c r="K120" s="200"/>
      <c r="L120" s="200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4"/>
    </row>
    <row r="121" spans="2:25" ht="26.25" customHeight="1" x14ac:dyDescent="0.25">
      <c r="B121" s="196" t="s">
        <v>333</v>
      </c>
      <c r="C121" s="197" t="s">
        <v>370</v>
      </c>
      <c r="D121" s="196" t="s">
        <v>40</v>
      </c>
      <c r="E121" s="196" t="s">
        <v>371</v>
      </c>
      <c r="F121" s="425" t="s">
        <v>334</v>
      </c>
      <c r="G121" s="425"/>
      <c r="H121" s="198" t="s">
        <v>54</v>
      </c>
      <c r="I121" s="199">
        <v>0.79249999999999998</v>
      </c>
      <c r="J121" s="199">
        <v>0</v>
      </c>
      <c r="K121" s="200"/>
      <c r="L121" s="200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4"/>
    </row>
    <row r="122" spans="2:25" ht="26.25" customHeight="1" x14ac:dyDescent="0.25">
      <c r="B122" s="196" t="s">
        <v>333</v>
      </c>
      <c r="C122" s="197" t="s">
        <v>942</v>
      </c>
      <c r="D122" s="196" t="s">
        <v>40</v>
      </c>
      <c r="E122" s="196" t="s">
        <v>943</v>
      </c>
      <c r="F122" s="425" t="s">
        <v>334</v>
      </c>
      <c r="G122" s="425"/>
      <c r="H122" s="198" t="s">
        <v>41</v>
      </c>
      <c r="I122" s="199">
        <v>2.1059999999999999</v>
      </c>
      <c r="J122" s="199">
        <v>0</v>
      </c>
      <c r="K122" s="200"/>
      <c r="L122" s="200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4"/>
    </row>
    <row r="123" spans="2:25" ht="26.25" customHeight="1" x14ac:dyDescent="0.25">
      <c r="B123" s="196" t="s">
        <v>333</v>
      </c>
      <c r="C123" s="197" t="s">
        <v>372</v>
      </c>
      <c r="D123" s="196" t="s">
        <v>40</v>
      </c>
      <c r="E123" s="196" t="s">
        <v>373</v>
      </c>
      <c r="F123" s="425" t="s">
        <v>340</v>
      </c>
      <c r="G123" s="425"/>
      <c r="H123" s="198" t="s">
        <v>64</v>
      </c>
      <c r="I123" s="199">
        <v>1.0978000000000001</v>
      </c>
      <c r="J123" s="199">
        <v>0</v>
      </c>
      <c r="K123" s="200"/>
      <c r="L123" s="200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4"/>
    </row>
    <row r="124" spans="2:25" ht="26.25" customHeight="1" x14ac:dyDescent="0.25">
      <c r="B124" s="193"/>
      <c r="C124" s="193"/>
      <c r="D124" s="193"/>
      <c r="E124" s="193"/>
      <c r="F124" s="193"/>
      <c r="G124" s="193" t="s">
        <v>324</v>
      </c>
      <c r="H124" s="194"/>
      <c r="I124" s="193" t="s">
        <v>325</v>
      </c>
      <c r="J124" s="194">
        <v>0</v>
      </c>
      <c r="K124" s="193" t="s">
        <v>326</v>
      </c>
      <c r="L124" s="194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4"/>
    </row>
    <row r="125" spans="2:25" ht="26.25" customHeight="1" thickBot="1" x14ac:dyDescent="0.3">
      <c r="B125" s="193"/>
      <c r="C125" s="193"/>
      <c r="D125" s="193"/>
      <c r="E125" s="193"/>
      <c r="F125" s="193"/>
      <c r="G125" s="193" t="s">
        <v>327</v>
      </c>
      <c r="H125" s="194"/>
      <c r="I125" s="421"/>
      <c r="J125" s="421" t="s">
        <v>328</v>
      </c>
      <c r="K125" s="193"/>
      <c r="L125" s="194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4"/>
    </row>
    <row r="126" spans="2:25" ht="26.25" customHeight="1" thickTop="1" x14ac:dyDescent="0.25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4"/>
    </row>
    <row r="127" spans="2:25" ht="26.25" customHeight="1" x14ac:dyDescent="0.25">
      <c r="B127" s="185" t="s">
        <v>1417</v>
      </c>
      <c r="C127" s="186" t="s">
        <v>28</v>
      </c>
      <c r="D127" s="185" t="s">
        <v>29</v>
      </c>
      <c r="E127" s="185" t="s">
        <v>30</v>
      </c>
      <c r="F127" s="422" t="s">
        <v>314</v>
      </c>
      <c r="G127" s="422"/>
      <c r="H127" s="187" t="s">
        <v>31</v>
      </c>
      <c r="I127" s="186" t="s">
        <v>32</v>
      </c>
      <c r="J127" s="186" t="s">
        <v>1134</v>
      </c>
      <c r="K127" s="186" t="s">
        <v>33</v>
      </c>
      <c r="L127" s="186" t="s">
        <v>35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4"/>
    </row>
    <row r="128" spans="2:25" ht="26.25" customHeight="1" x14ac:dyDescent="0.25">
      <c r="B128" s="181" t="s">
        <v>315</v>
      </c>
      <c r="C128" s="182" t="s">
        <v>1418</v>
      </c>
      <c r="D128" s="181" t="s">
        <v>98</v>
      </c>
      <c r="E128" s="181" t="s">
        <v>1419</v>
      </c>
      <c r="F128" s="423" t="s">
        <v>332</v>
      </c>
      <c r="G128" s="423"/>
      <c r="H128" s="183" t="s">
        <v>43</v>
      </c>
      <c r="I128" s="252">
        <v>1</v>
      </c>
      <c r="J128" s="184"/>
      <c r="K128" s="184"/>
      <c r="L128" s="184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4"/>
    </row>
    <row r="129" spans="2:25" ht="26.25" customHeight="1" x14ac:dyDescent="0.25">
      <c r="B129" s="188" t="s">
        <v>316</v>
      </c>
      <c r="C129" s="189" t="s">
        <v>1429</v>
      </c>
      <c r="D129" s="188" t="s">
        <v>50</v>
      </c>
      <c r="E129" s="188" t="s">
        <v>1430</v>
      </c>
      <c r="F129" s="424" t="s">
        <v>386</v>
      </c>
      <c r="G129" s="424"/>
      <c r="H129" s="190" t="s">
        <v>43</v>
      </c>
      <c r="I129" s="191">
        <v>0.85699999999999998</v>
      </c>
      <c r="J129" s="191">
        <v>0</v>
      </c>
      <c r="K129" s="192"/>
      <c r="L129" s="19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4"/>
    </row>
    <row r="130" spans="2:25" ht="26.25" customHeight="1" x14ac:dyDescent="0.25">
      <c r="B130" s="193"/>
      <c r="C130" s="193"/>
      <c r="D130" s="193"/>
      <c r="E130" s="193"/>
      <c r="F130" s="193"/>
      <c r="G130" s="193" t="s">
        <v>324</v>
      </c>
      <c r="H130" s="194"/>
      <c r="I130" s="193" t="s">
        <v>325</v>
      </c>
      <c r="J130" s="194">
        <v>0</v>
      </c>
      <c r="K130" s="193" t="s">
        <v>326</v>
      </c>
      <c r="L130" s="194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4"/>
    </row>
    <row r="131" spans="2:25" ht="39" customHeight="1" thickBot="1" x14ac:dyDescent="0.3">
      <c r="B131" s="193"/>
      <c r="C131" s="193"/>
      <c r="D131" s="193"/>
      <c r="E131" s="193"/>
      <c r="F131" s="193"/>
      <c r="G131" s="193" t="s">
        <v>327</v>
      </c>
      <c r="H131" s="194"/>
      <c r="I131" s="421"/>
      <c r="J131" s="421" t="s">
        <v>328</v>
      </c>
      <c r="K131" s="193"/>
      <c r="L131" s="194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4"/>
    </row>
    <row r="132" spans="2:25" ht="39" customHeight="1" thickTop="1" x14ac:dyDescent="0.25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4"/>
    </row>
    <row r="133" spans="2:25" ht="26.25" customHeight="1" x14ac:dyDescent="0.25">
      <c r="B133" s="185" t="s">
        <v>1041</v>
      </c>
      <c r="C133" s="186" t="s">
        <v>28</v>
      </c>
      <c r="D133" s="185" t="s">
        <v>29</v>
      </c>
      <c r="E133" s="185" t="s">
        <v>30</v>
      </c>
      <c r="F133" s="422" t="s">
        <v>314</v>
      </c>
      <c r="G133" s="422"/>
      <c r="H133" s="187" t="s">
        <v>31</v>
      </c>
      <c r="I133" s="186" t="s">
        <v>32</v>
      </c>
      <c r="J133" s="186" t="s">
        <v>1134</v>
      </c>
      <c r="K133" s="186" t="s">
        <v>33</v>
      </c>
      <c r="L133" s="186" t="s">
        <v>35</v>
      </c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4"/>
    </row>
    <row r="134" spans="2:25" ht="39" customHeight="1" x14ac:dyDescent="0.25">
      <c r="B134" s="181" t="s">
        <v>315</v>
      </c>
      <c r="C134" s="182" t="s">
        <v>580</v>
      </c>
      <c r="D134" s="181" t="s">
        <v>98</v>
      </c>
      <c r="E134" s="181" t="s">
        <v>581</v>
      </c>
      <c r="F134" s="423">
        <v>53</v>
      </c>
      <c r="G134" s="423"/>
      <c r="H134" s="183" t="s">
        <v>43</v>
      </c>
      <c r="I134" s="252">
        <v>1</v>
      </c>
      <c r="J134" s="184"/>
      <c r="K134" s="184"/>
      <c r="L134" s="184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4"/>
    </row>
    <row r="135" spans="2:25" ht="26.25" customHeight="1" x14ac:dyDescent="0.25">
      <c r="B135" s="188" t="s">
        <v>316</v>
      </c>
      <c r="C135" s="189" t="s">
        <v>343</v>
      </c>
      <c r="D135" s="188" t="s">
        <v>40</v>
      </c>
      <c r="E135" s="188" t="s">
        <v>344</v>
      </c>
      <c r="F135" s="424" t="s">
        <v>319</v>
      </c>
      <c r="G135" s="424"/>
      <c r="H135" s="190" t="s">
        <v>320</v>
      </c>
      <c r="I135" s="191">
        <v>0.86399999999999999</v>
      </c>
      <c r="J135" s="191">
        <v>0</v>
      </c>
      <c r="K135" s="192"/>
      <c r="L135" s="192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4"/>
    </row>
    <row r="136" spans="2:25" ht="26.25" customHeight="1" x14ac:dyDescent="0.25">
      <c r="B136" s="188" t="s">
        <v>316</v>
      </c>
      <c r="C136" s="189" t="s">
        <v>345</v>
      </c>
      <c r="D136" s="188" t="s">
        <v>40</v>
      </c>
      <c r="E136" s="188" t="s">
        <v>346</v>
      </c>
      <c r="F136" s="424" t="s">
        <v>319</v>
      </c>
      <c r="G136" s="424"/>
      <c r="H136" s="190" t="s">
        <v>320</v>
      </c>
      <c r="I136" s="191">
        <v>0.86399999999999999</v>
      </c>
      <c r="J136" s="191">
        <v>0</v>
      </c>
      <c r="K136" s="192"/>
      <c r="L136" s="192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4"/>
    </row>
    <row r="137" spans="2:25" ht="26.25" customHeight="1" x14ac:dyDescent="0.25">
      <c r="B137" s="196" t="s">
        <v>333</v>
      </c>
      <c r="C137" s="197" t="s">
        <v>764</v>
      </c>
      <c r="D137" s="196" t="s">
        <v>50</v>
      </c>
      <c r="E137" s="196" t="s">
        <v>765</v>
      </c>
      <c r="F137" s="425" t="s">
        <v>334</v>
      </c>
      <c r="G137" s="425"/>
      <c r="H137" s="198" t="s">
        <v>43</v>
      </c>
      <c r="I137" s="199">
        <v>0.2</v>
      </c>
      <c r="J137" s="199">
        <v>0</v>
      </c>
      <c r="K137" s="200"/>
      <c r="L137" s="200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4"/>
    </row>
    <row r="138" spans="2:25" ht="26.25" customHeight="1" x14ac:dyDescent="0.25">
      <c r="B138" s="196" t="s">
        <v>333</v>
      </c>
      <c r="C138" s="197" t="s">
        <v>768</v>
      </c>
      <c r="D138" s="196" t="s">
        <v>40</v>
      </c>
      <c r="E138" s="196" t="s">
        <v>769</v>
      </c>
      <c r="F138" s="425" t="s">
        <v>334</v>
      </c>
      <c r="G138" s="425"/>
      <c r="H138" s="198" t="s">
        <v>43</v>
      </c>
      <c r="I138" s="199">
        <v>1</v>
      </c>
      <c r="J138" s="199">
        <v>0</v>
      </c>
      <c r="K138" s="200"/>
      <c r="L138" s="200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4"/>
    </row>
    <row r="139" spans="2:25" ht="26.25" customHeight="1" x14ac:dyDescent="0.25">
      <c r="B139" s="196" t="s">
        <v>333</v>
      </c>
      <c r="C139" s="197" t="s">
        <v>803</v>
      </c>
      <c r="D139" s="196" t="s">
        <v>40</v>
      </c>
      <c r="E139" s="196" t="s">
        <v>804</v>
      </c>
      <c r="F139" s="425" t="s">
        <v>334</v>
      </c>
      <c r="G139" s="425"/>
      <c r="H139" s="198" t="s">
        <v>43</v>
      </c>
      <c r="I139" s="199">
        <v>1</v>
      </c>
      <c r="J139" s="199">
        <v>0</v>
      </c>
      <c r="K139" s="200"/>
      <c r="L139" s="200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4"/>
    </row>
    <row r="140" spans="2:25" ht="26.25" customHeight="1" x14ac:dyDescent="0.25">
      <c r="B140" s="196" t="s">
        <v>333</v>
      </c>
      <c r="C140" s="197" t="s">
        <v>766</v>
      </c>
      <c r="D140" s="196" t="s">
        <v>50</v>
      </c>
      <c r="E140" s="196" t="s">
        <v>767</v>
      </c>
      <c r="F140" s="425" t="s">
        <v>334</v>
      </c>
      <c r="G140" s="425"/>
      <c r="H140" s="198" t="s">
        <v>43</v>
      </c>
      <c r="I140" s="199">
        <v>0.1</v>
      </c>
      <c r="J140" s="199">
        <v>0</v>
      </c>
      <c r="K140" s="200"/>
      <c r="L140" s="200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4"/>
    </row>
    <row r="141" spans="2:25" ht="26.25" customHeight="1" x14ac:dyDescent="0.25">
      <c r="B141" s="193"/>
      <c r="C141" s="193"/>
      <c r="D141" s="193"/>
      <c r="E141" s="193"/>
      <c r="F141" s="193"/>
      <c r="G141" s="193" t="s">
        <v>324</v>
      </c>
      <c r="H141" s="194"/>
      <c r="I141" s="193" t="s">
        <v>325</v>
      </c>
      <c r="J141" s="194">
        <v>0</v>
      </c>
      <c r="K141" s="193" t="s">
        <v>326</v>
      </c>
      <c r="L141" s="194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4"/>
    </row>
    <row r="142" spans="2:25" ht="26.25" customHeight="1" thickBot="1" x14ac:dyDescent="0.3">
      <c r="B142" s="193"/>
      <c r="C142" s="193"/>
      <c r="D142" s="193"/>
      <c r="E142" s="193"/>
      <c r="F142" s="193"/>
      <c r="G142" s="193" t="s">
        <v>327</v>
      </c>
      <c r="H142" s="194"/>
      <c r="I142" s="421"/>
      <c r="J142" s="421" t="s">
        <v>328</v>
      </c>
      <c r="K142" s="193"/>
      <c r="L142" s="194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4"/>
    </row>
    <row r="143" spans="2:25" ht="26.25" customHeight="1" thickTop="1" x14ac:dyDescent="0.25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4"/>
    </row>
    <row r="144" spans="2:25" ht="26.25" customHeight="1" x14ac:dyDescent="0.25">
      <c r="B144" s="185" t="s">
        <v>1194</v>
      </c>
      <c r="C144" s="186" t="s">
        <v>28</v>
      </c>
      <c r="D144" s="185" t="s">
        <v>29</v>
      </c>
      <c r="E144" s="185" t="s">
        <v>30</v>
      </c>
      <c r="F144" s="422" t="s">
        <v>314</v>
      </c>
      <c r="G144" s="422"/>
      <c r="H144" s="187" t="s">
        <v>31</v>
      </c>
      <c r="I144" s="186" t="s">
        <v>32</v>
      </c>
      <c r="J144" s="186" t="s">
        <v>1134</v>
      </c>
      <c r="K144" s="186" t="s">
        <v>33</v>
      </c>
      <c r="L144" s="186" t="s">
        <v>35</v>
      </c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4"/>
    </row>
    <row r="145" spans="2:25" ht="26.25" customHeight="1" x14ac:dyDescent="0.25">
      <c r="B145" s="181" t="s">
        <v>315</v>
      </c>
      <c r="C145" s="182" t="s">
        <v>873</v>
      </c>
      <c r="D145" s="181" t="s">
        <v>98</v>
      </c>
      <c r="E145" s="181" t="s">
        <v>874</v>
      </c>
      <c r="F145" s="423" t="s">
        <v>389</v>
      </c>
      <c r="G145" s="423"/>
      <c r="H145" s="183" t="s">
        <v>43</v>
      </c>
      <c r="I145" s="252">
        <v>1</v>
      </c>
      <c r="J145" s="184"/>
      <c r="K145" s="184"/>
      <c r="L145" s="184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4"/>
    </row>
    <row r="146" spans="2:25" ht="26.25" customHeight="1" x14ac:dyDescent="0.25">
      <c r="B146" s="188" t="s">
        <v>316</v>
      </c>
      <c r="C146" s="189" t="s">
        <v>343</v>
      </c>
      <c r="D146" s="188" t="s">
        <v>40</v>
      </c>
      <c r="E146" s="188" t="s">
        <v>344</v>
      </c>
      <c r="F146" s="424" t="s">
        <v>319</v>
      </c>
      <c r="G146" s="424"/>
      <c r="H146" s="190" t="s">
        <v>320</v>
      </c>
      <c r="I146" s="191">
        <v>5.26</v>
      </c>
      <c r="J146" s="191">
        <v>0</v>
      </c>
      <c r="K146" s="192">
        <v>31.05</v>
      </c>
      <c r="L146" s="192">
        <f>I146*K146</f>
        <v>163.32300000000001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4"/>
    </row>
    <row r="147" spans="2:25" ht="26.25" customHeight="1" x14ac:dyDescent="0.25">
      <c r="B147" s="188" t="s">
        <v>316</v>
      </c>
      <c r="C147" s="189" t="s">
        <v>345</v>
      </c>
      <c r="D147" s="188" t="s">
        <v>40</v>
      </c>
      <c r="E147" s="188" t="s">
        <v>346</v>
      </c>
      <c r="F147" s="424" t="s">
        <v>319</v>
      </c>
      <c r="G147" s="424"/>
      <c r="H147" s="190" t="s">
        <v>320</v>
      </c>
      <c r="I147" s="191">
        <v>3.5059999999999998</v>
      </c>
      <c r="J147" s="191">
        <v>0</v>
      </c>
      <c r="K147" s="192">
        <v>37.08</v>
      </c>
      <c r="L147" s="192">
        <f>I147*K147</f>
        <v>130.00247999999999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4"/>
    </row>
    <row r="148" spans="2:25" ht="26.25" customHeight="1" x14ac:dyDescent="0.25">
      <c r="B148" s="196" t="s">
        <v>333</v>
      </c>
      <c r="C148" s="197" t="s">
        <v>892</v>
      </c>
      <c r="D148" s="196" t="s">
        <v>98</v>
      </c>
      <c r="E148" s="196" t="s">
        <v>874</v>
      </c>
      <c r="F148" s="425" t="s">
        <v>334</v>
      </c>
      <c r="G148" s="425"/>
      <c r="H148" s="198" t="s">
        <v>43</v>
      </c>
      <c r="I148" s="199">
        <v>1</v>
      </c>
      <c r="J148" s="199">
        <v>0</v>
      </c>
      <c r="K148" s="200">
        <v>12418.99</v>
      </c>
      <c r="L148" s="200">
        <f>I148*K148</f>
        <v>12418.99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4"/>
    </row>
    <row r="149" spans="2:25" ht="26.25" customHeight="1" x14ac:dyDescent="0.25">
      <c r="B149" s="193"/>
      <c r="C149" s="193"/>
      <c r="D149" s="193"/>
      <c r="E149" s="193"/>
      <c r="F149" s="193"/>
      <c r="G149" s="193" t="s">
        <v>324</v>
      </c>
      <c r="H149" s="194"/>
      <c r="I149" s="193" t="s">
        <v>325</v>
      </c>
      <c r="J149" s="194">
        <v>0</v>
      </c>
      <c r="K149" s="193" t="s">
        <v>326</v>
      </c>
      <c r="L149" s="194">
        <f>SUM(L146:L148)</f>
        <v>12712.315479999999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4"/>
    </row>
    <row r="150" spans="2:25" ht="26.25" customHeight="1" thickBot="1" x14ac:dyDescent="0.3">
      <c r="B150" s="193"/>
      <c r="C150" s="193"/>
      <c r="D150" s="193"/>
      <c r="E150" s="193"/>
      <c r="F150" s="193"/>
      <c r="G150" s="193" t="s">
        <v>327</v>
      </c>
      <c r="H150" s="194"/>
      <c r="I150" s="421"/>
      <c r="J150" s="421" t="s">
        <v>328</v>
      </c>
      <c r="K150" s="193"/>
      <c r="L150" s="194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4"/>
    </row>
    <row r="151" spans="2:25" ht="26.25" customHeight="1" thickTop="1" x14ac:dyDescent="0.25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4"/>
    </row>
    <row r="152" spans="2:25" ht="26.25" customHeight="1" x14ac:dyDescent="0.25">
      <c r="B152" s="185" t="s">
        <v>1222</v>
      </c>
      <c r="C152" s="186" t="s">
        <v>28</v>
      </c>
      <c r="D152" s="185" t="s">
        <v>29</v>
      </c>
      <c r="E152" s="185" t="s">
        <v>30</v>
      </c>
      <c r="F152" s="422" t="s">
        <v>314</v>
      </c>
      <c r="G152" s="422"/>
      <c r="H152" s="187" t="s">
        <v>31</v>
      </c>
      <c r="I152" s="186" t="s">
        <v>32</v>
      </c>
      <c r="J152" s="186" t="s">
        <v>1134</v>
      </c>
      <c r="K152" s="186" t="s">
        <v>33</v>
      </c>
      <c r="L152" s="186" t="s">
        <v>35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4"/>
    </row>
    <row r="153" spans="2:25" ht="26.25" customHeight="1" x14ac:dyDescent="0.25">
      <c r="B153" s="181" t="s">
        <v>315</v>
      </c>
      <c r="C153" s="182" t="s">
        <v>680</v>
      </c>
      <c r="D153" s="181" t="s">
        <v>98</v>
      </c>
      <c r="E153" s="181" t="s">
        <v>681</v>
      </c>
      <c r="F153" s="423" t="s">
        <v>389</v>
      </c>
      <c r="G153" s="423"/>
      <c r="H153" s="183" t="s">
        <v>43</v>
      </c>
      <c r="I153" s="252">
        <v>1</v>
      </c>
      <c r="J153" s="184"/>
      <c r="K153" s="184"/>
      <c r="L153" s="184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4"/>
    </row>
    <row r="154" spans="2:25" ht="26.25" customHeight="1" x14ac:dyDescent="0.25">
      <c r="B154" s="188" t="s">
        <v>316</v>
      </c>
      <c r="C154" s="189" t="s">
        <v>345</v>
      </c>
      <c r="D154" s="188" t="s">
        <v>40</v>
      </c>
      <c r="E154" s="188" t="s">
        <v>346</v>
      </c>
      <c r="F154" s="424" t="s">
        <v>319</v>
      </c>
      <c r="G154" s="424"/>
      <c r="H154" s="190" t="s">
        <v>320</v>
      </c>
      <c r="I154" s="191">
        <v>0.7</v>
      </c>
      <c r="J154" s="191">
        <v>0</v>
      </c>
      <c r="K154" s="192"/>
      <c r="L154" s="192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4"/>
    </row>
    <row r="155" spans="2:25" ht="26.25" customHeight="1" x14ac:dyDescent="0.25">
      <c r="B155" s="188" t="s">
        <v>316</v>
      </c>
      <c r="C155" s="189" t="s">
        <v>343</v>
      </c>
      <c r="D155" s="188" t="s">
        <v>40</v>
      </c>
      <c r="E155" s="188" t="s">
        <v>344</v>
      </c>
      <c r="F155" s="424" t="s">
        <v>319</v>
      </c>
      <c r="G155" s="424"/>
      <c r="H155" s="190" t="s">
        <v>320</v>
      </c>
      <c r="I155" s="191">
        <v>0.7</v>
      </c>
      <c r="J155" s="191">
        <v>0</v>
      </c>
      <c r="K155" s="192"/>
      <c r="L155" s="192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4"/>
    </row>
    <row r="156" spans="2:25" ht="26.25" customHeight="1" x14ac:dyDescent="0.25">
      <c r="B156" s="196" t="s">
        <v>333</v>
      </c>
      <c r="C156" s="197" t="s">
        <v>380</v>
      </c>
      <c r="D156" s="196" t="s">
        <v>40</v>
      </c>
      <c r="E156" s="196" t="s">
        <v>381</v>
      </c>
      <c r="F156" s="425" t="s">
        <v>334</v>
      </c>
      <c r="G156" s="425"/>
      <c r="H156" s="198" t="s">
        <v>43</v>
      </c>
      <c r="I156" s="199">
        <v>8.7499999999999994E-2</v>
      </c>
      <c r="J156" s="199">
        <v>0</v>
      </c>
      <c r="K156" s="200"/>
      <c r="L156" s="200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4"/>
    </row>
    <row r="157" spans="2:25" ht="26.25" customHeight="1" x14ac:dyDescent="0.25">
      <c r="B157" s="196" t="s">
        <v>333</v>
      </c>
      <c r="C157" s="197" t="s">
        <v>772</v>
      </c>
      <c r="D157" s="196" t="s">
        <v>144</v>
      </c>
      <c r="E157" s="196" t="s">
        <v>773</v>
      </c>
      <c r="F157" s="425" t="s">
        <v>334</v>
      </c>
      <c r="G157" s="425"/>
      <c r="H157" s="198" t="s">
        <v>165</v>
      </c>
      <c r="I157" s="199">
        <v>1</v>
      </c>
      <c r="J157" s="199">
        <v>0</v>
      </c>
      <c r="K157" s="200"/>
      <c r="L157" s="200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4"/>
    </row>
    <row r="158" spans="2:25" ht="26.25" customHeight="1" x14ac:dyDescent="0.25">
      <c r="B158" s="196" t="s">
        <v>333</v>
      </c>
      <c r="C158" s="197" t="s">
        <v>770</v>
      </c>
      <c r="D158" s="196" t="s">
        <v>40</v>
      </c>
      <c r="E158" s="196" t="s">
        <v>771</v>
      </c>
      <c r="F158" s="425" t="s">
        <v>334</v>
      </c>
      <c r="G158" s="425"/>
      <c r="H158" s="198" t="s">
        <v>43</v>
      </c>
      <c r="I158" s="199">
        <v>2</v>
      </c>
      <c r="J158" s="199">
        <v>0</v>
      </c>
      <c r="K158" s="200"/>
      <c r="L158" s="200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4"/>
    </row>
    <row r="159" spans="2:25" ht="26.25" customHeight="1" x14ac:dyDescent="0.25">
      <c r="B159" s="193"/>
      <c r="C159" s="193"/>
      <c r="D159" s="193"/>
      <c r="E159" s="193"/>
      <c r="F159" s="193"/>
      <c r="G159" s="193" t="s">
        <v>324</v>
      </c>
      <c r="H159" s="194"/>
      <c r="I159" s="193" t="s">
        <v>325</v>
      </c>
      <c r="J159" s="194">
        <v>0</v>
      </c>
      <c r="K159" s="193" t="s">
        <v>326</v>
      </c>
      <c r="L159" s="194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4"/>
    </row>
    <row r="160" spans="2:25" ht="26.25" customHeight="1" thickBot="1" x14ac:dyDescent="0.3">
      <c r="B160" s="193"/>
      <c r="C160" s="193"/>
      <c r="D160" s="193"/>
      <c r="E160" s="193"/>
      <c r="F160" s="193"/>
      <c r="G160" s="193" t="s">
        <v>327</v>
      </c>
      <c r="H160" s="194"/>
      <c r="I160" s="421"/>
      <c r="J160" s="421" t="s">
        <v>328</v>
      </c>
      <c r="K160" s="193"/>
      <c r="L160" s="194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4"/>
    </row>
    <row r="161" spans="2:25" ht="26.25" customHeight="1" thickTop="1" x14ac:dyDescent="0.25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4"/>
    </row>
    <row r="162" spans="2:25" ht="26.25" customHeight="1" x14ac:dyDescent="0.25">
      <c r="B162" s="185" t="s">
        <v>1118</v>
      </c>
      <c r="C162" s="186" t="s">
        <v>28</v>
      </c>
      <c r="D162" s="185" t="s">
        <v>29</v>
      </c>
      <c r="E162" s="185" t="s">
        <v>30</v>
      </c>
      <c r="F162" s="422" t="s">
        <v>314</v>
      </c>
      <c r="G162" s="422"/>
      <c r="H162" s="187" t="s">
        <v>31</v>
      </c>
      <c r="I162" s="186" t="s">
        <v>32</v>
      </c>
      <c r="J162" s="186" t="s">
        <v>1134</v>
      </c>
      <c r="K162" s="186" t="s">
        <v>33</v>
      </c>
      <c r="L162" s="186" t="s">
        <v>35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4"/>
    </row>
    <row r="163" spans="2:25" ht="26.25" customHeight="1" x14ac:dyDescent="0.25">
      <c r="B163" s="181" t="s">
        <v>315</v>
      </c>
      <c r="C163" s="182" t="s">
        <v>1426</v>
      </c>
      <c r="D163" s="181" t="s">
        <v>98</v>
      </c>
      <c r="E163" s="181" t="s">
        <v>1427</v>
      </c>
      <c r="F163" s="423" t="s">
        <v>1431</v>
      </c>
      <c r="G163" s="423"/>
      <c r="H163" s="183" t="s">
        <v>43</v>
      </c>
      <c r="I163" s="252">
        <v>1</v>
      </c>
      <c r="J163" s="184"/>
      <c r="K163" s="184"/>
      <c r="L163" s="184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4"/>
    </row>
    <row r="164" spans="2:25" ht="26.25" customHeight="1" x14ac:dyDescent="0.25">
      <c r="B164" s="188" t="s">
        <v>316</v>
      </c>
      <c r="C164" s="189" t="s">
        <v>347</v>
      </c>
      <c r="D164" s="188" t="s">
        <v>40</v>
      </c>
      <c r="E164" s="188" t="s">
        <v>348</v>
      </c>
      <c r="F164" s="424" t="s">
        <v>319</v>
      </c>
      <c r="G164" s="424"/>
      <c r="H164" s="190" t="s">
        <v>320</v>
      </c>
      <c r="I164" s="191">
        <v>0.25</v>
      </c>
      <c r="J164" s="191">
        <v>0</v>
      </c>
      <c r="K164" s="192">
        <v>43.25</v>
      </c>
      <c r="L164" s="200">
        <f t="shared" ref="L164:L165" si="0">I164*K164</f>
        <v>10.8125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4"/>
    </row>
    <row r="165" spans="2:25" ht="26.25" customHeight="1" x14ac:dyDescent="0.25">
      <c r="B165" s="196" t="s">
        <v>333</v>
      </c>
      <c r="C165" s="197" t="s">
        <v>1432</v>
      </c>
      <c r="D165" s="196" t="s">
        <v>50</v>
      </c>
      <c r="E165" s="196" t="s">
        <v>1433</v>
      </c>
      <c r="F165" s="425" t="s">
        <v>334</v>
      </c>
      <c r="G165" s="425"/>
      <c r="H165" s="198" t="s">
        <v>43</v>
      </c>
      <c r="I165" s="199">
        <v>1</v>
      </c>
      <c r="J165" s="199">
        <v>0</v>
      </c>
      <c r="K165" s="200"/>
      <c r="L165" s="200">
        <f t="shared" si="0"/>
        <v>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4"/>
    </row>
    <row r="166" spans="2:25" ht="26.25" customHeight="1" x14ac:dyDescent="0.25">
      <c r="B166" s="196" t="s">
        <v>333</v>
      </c>
      <c r="C166" s="197" t="s">
        <v>1434</v>
      </c>
      <c r="D166" s="196" t="s">
        <v>1435</v>
      </c>
      <c r="E166" s="196" t="s">
        <v>1436</v>
      </c>
      <c r="F166" s="425" t="s">
        <v>334</v>
      </c>
      <c r="G166" s="425"/>
      <c r="H166" s="198" t="s">
        <v>201</v>
      </c>
      <c r="I166" s="199">
        <v>1</v>
      </c>
      <c r="J166" s="199">
        <v>0</v>
      </c>
      <c r="K166" s="200">
        <v>102.73</v>
      </c>
      <c r="L166" s="200">
        <f>I166*K166</f>
        <v>102.73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4"/>
    </row>
    <row r="167" spans="2:25" ht="26.25" customHeight="1" x14ac:dyDescent="0.25">
      <c r="B167" s="193"/>
      <c r="C167" s="193"/>
      <c r="D167" s="193"/>
      <c r="E167" s="193"/>
      <c r="F167" s="193"/>
      <c r="G167" s="193" t="s">
        <v>324</v>
      </c>
      <c r="H167" s="194"/>
      <c r="I167" s="193" t="s">
        <v>325</v>
      </c>
      <c r="J167" s="194">
        <v>0</v>
      </c>
      <c r="K167" s="193" t="s">
        <v>326</v>
      </c>
      <c r="L167" s="194">
        <f>SUM(L164:L166)</f>
        <v>113.5425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4"/>
    </row>
    <row r="168" spans="2:25" ht="26.25" customHeight="1" x14ac:dyDescent="0.25">
      <c r="B168" s="193"/>
      <c r="C168" s="193"/>
      <c r="D168" s="193"/>
      <c r="E168" s="193"/>
      <c r="F168" s="193"/>
      <c r="G168" s="193" t="s">
        <v>327</v>
      </c>
      <c r="H168" s="194"/>
      <c r="I168" s="421"/>
      <c r="J168" s="421" t="s">
        <v>328</v>
      </c>
      <c r="K168" s="193"/>
      <c r="L168" s="194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4"/>
    </row>
    <row r="169" spans="2:25" ht="26.25" customHeight="1" x14ac:dyDescent="0.25"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4"/>
    </row>
    <row r="170" spans="2:25" ht="26.25" customHeight="1" x14ac:dyDescent="0.25"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4"/>
    </row>
    <row r="171" spans="2:25" ht="26.25" customHeight="1" x14ac:dyDescent="0.25"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4"/>
    </row>
    <row r="172" spans="2:25" ht="26.25" customHeight="1" x14ac:dyDescent="0.25"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4"/>
    </row>
    <row r="173" spans="2:25" ht="26.25" customHeight="1" x14ac:dyDescent="0.25"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4"/>
    </row>
    <row r="174" spans="2:25" ht="26.25" customHeight="1" x14ac:dyDescent="0.25"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4"/>
    </row>
    <row r="175" spans="2:25" ht="26.25" customHeight="1" x14ac:dyDescent="0.25"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4"/>
    </row>
    <row r="176" spans="2:25" ht="26.25" customHeight="1" x14ac:dyDescent="0.25"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4"/>
    </row>
    <row r="177" spans="14:25" ht="26.25" customHeight="1" x14ac:dyDescent="0.25"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4"/>
    </row>
    <row r="178" spans="14:25" ht="26.25" customHeight="1" x14ac:dyDescent="0.25"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4"/>
    </row>
    <row r="179" spans="14:25" ht="26.25" customHeight="1" x14ac:dyDescent="0.25"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4"/>
    </row>
    <row r="180" spans="14:25" ht="26.25" customHeight="1" x14ac:dyDescent="0.25"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4"/>
    </row>
    <row r="181" spans="14:25" ht="26.25" customHeight="1" x14ac:dyDescent="0.25"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4"/>
    </row>
    <row r="182" spans="14:25" ht="26.25" customHeight="1" x14ac:dyDescent="0.25"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4"/>
    </row>
    <row r="183" spans="14:25" ht="26.25" customHeight="1" x14ac:dyDescent="0.25"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4"/>
    </row>
    <row r="184" spans="14:25" ht="26.25" customHeight="1" x14ac:dyDescent="0.25"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4"/>
    </row>
    <row r="185" spans="14:25" ht="26.25" customHeight="1" x14ac:dyDescent="0.25"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4"/>
    </row>
    <row r="186" spans="14:25" ht="26.25" customHeight="1" x14ac:dyDescent="0.25"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4"/>
    </row>
    <row r="187" spans="14:25" ht="26.25" customHeight="1" x14ac:dyDescent="0.25"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4"/>
    </row>
    <row r="188" spans="14:25" ht="26.25" customHeight="1" x14ac:dyDescent="0.25"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4"/>
    </row>
    <row r="189" spans="14:25" ht="26.25" customHeight="1" x14ac:dyDescent="0.25"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4"/>
    </row>
    <row r="190" spans="14:25" ht="26.25" customHeight="1" x14ac:dyDescent="0.25"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4"/>
    </row>
    <row r="191" spans="14:25" ht="26.25" customHeight="1" x14ac:dyDescent="0.25"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4"/>
    </row>
    <row r="192" spans="14:25" ht="26.25" customHeight="1" x14ac:dyDescent="0.25"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4"/>
    </row>
    <row r="193" spans="14:25" ht="26.25" customHeight="1" x14ac:dyDescent="0.25"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4"/>
    </row>
    <row r="194" spans="14:25" ht="26.25" customHeight="1" x14ac:dyDescent="0.25"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4"/>
    </row>
    <row r="195" spans="14:25" ht="26.25" customHeight="1" x14ac:dyDescent="0.25"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4"/>
    </row>
    <row r="196" spans="14:25" ht="26.25" customHeight="1" x14ac:dyDescent="0.25"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4"/>
    </row>
    <row r="197" spans="14:25" ht="39" customHeight="1" x14ac:dyDescent="0.25"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4"/>
    </row>
    <row r="198" spans="14:25" ht="26.25" customHeight="1" x14ac:dyDescent="0.25"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4"/>
    </row>
    <row r="199" spans="14:25" ht="26.25" customHeight="1" x14ac:dyDescent="0.25"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4"/>
    </row>
    <row r="200" spans="14:25" ht="26.25" customHeight="1" x14ac:dyDescent="0.25"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4"/>
    </row>
    <row r="201" spans="14:25" ht="26.25" customHeight="1" x14ac:dyDescent="0.25"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4"/>
    </row>
    <row r="202" spans="14:25" ht="26.25" customHeight="1" x14ac:dyDescent="0.25"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4"/>
    </row>
    <row r="203" spans="14:25" ht="26.25" customHeight="1" x14ac:dyDescent="0.25"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4"/>
    </row>
    <row r="204" spans="14:25" ht="26.25" customHeight="1" x14ac:dyDescent="0.25"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4"/>
    </row>
    <row r="205" spans="14:25" ht="26.25" customHeight="1" x14ac:dyDescent="0.25"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4"/>
    </row>
    <row r="206" spans="14:25" ht="26.25" customHeight="1" x14ac:dyDescent="0.25"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4"/>
    </row>
    <row r="207" spans="14:25" ht="26.25" customHeight="1" x14ac:dyDescent="0.25"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4"/>
    </row>
    <row r="208" spans="14:25" ht="26.25" customHeight="1" x14ac:dyDescent="0.25"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4"/>
    </row>
    <row r="209" spans="14:25" ht="26.25" customHeight="1" x14ac:dyDescent="0.25"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4"/>
    </row>
    <row r="210" spans="14:25" ht="15.75" customHeight="1" x14ac:dyDescent="0.25"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4"/>
    </row>
    <row r="211" spans="14:25" ht="15.75" customHeight="1" x14ac:dyDescent="0.25"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4"/>
    </row>
    <row r="212" spans="14:25" ht="15.75" customHeight="1" x14ac:dyDescent="0.25"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4"/>
    </row>
    <row r="213" spans="14:25" ht="15.75" customHeight="1" x14ac:dyDescent="0.25"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4"/>
    </row>
    <row r="214" spans="14:25" ht="15.75" customHeight="1" x14ac:dyDescent="0.25"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4"/>
    </row>
    <row r="215" spans="14:25" ht="26.25" customHeight="1" x14ac:dyDescent="0.25"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4"/>
    </row>
    <row r="216" spans="14:25" ht="26.25" customHeight="1" x14ac:dyDescent="0.25"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4"/>
    </row>
    <row r="217" spans="14:25" ht="26.25" customHeight="1" x14ac:dyDescent="0.25"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4"/>
    </row>
    <row r="218" spans="14:25" ht="26.25" customHeight="1" x14ac:dyDescent="0.25"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4"/>
    </row>
    <row r="219" spans="14:25" ht="26.25" customHeight="1" x14ac:dyDescent="0.25"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4"/>
    </row>
    <row r="220" spans="14:25" ht="26.25" customHeight="1" x14ac:dyDescent="0.25"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4"/>
    </row>
    <row r="221" spans="14:25" ht="26.25" customHeight="1" x14ac:dyDescent="0.25"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4"/>
    </row>
    <row r="222" spans="14:25" ht="26.25" customHeight="1" x14ac:dyDescent="0.25"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4"/>
    </row>
    <row r="223" spans="14:25" ht="26.25" customHeight="1" x14ac:dyDescent="0.25"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4"/>
    </row>
    <row r="224" spans="14:25" ht="26.25" customHeight="1" x14ac:dyDescent="0.25"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4"/>
    </row>
    <row r="225" spans="14:25" ht="26.25" customHeight="1" x14ac:dyDescent="0.25"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4"/>
    </row>
    <row r="226" spans="14:25" ht="26.25" customHeight="1" x14ac:dyDescent="0.25"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4"/>
    </row>
    <row r="227" spans="14:25" ht="26.25" customHeight="1" x14ac:dyDescent="0.25"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4"/>
    </row>
    <row r="228" spans="14:25" ht="26.25" customHeight="1" x14ac:dyDescent="0.25"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4"/>
    </row>
    <row r="229" spans="14:25" ht="26.25" customHeight="1" x14ac:dyDescent="0.25"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4"/>
    </row>
    <row r="230" spans="14:25" ht="26.25" customHeight="1" x14ac:dyDescent="0.25"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4"/>
    </row>
    <row r="231" spans="14:25" ht="26.25" customHeight="1" x14ac:dyDescent="0.25"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4"/>
    </row>
    <row r="232" spans="14:25" ht="26.25" customHeight="1" x14ac:dyDescent="0.25"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4"/>
    </row>
    <row r="233" spans="14:25" ht="26.25" customHeight="1" x14ac:dyDescent="0.25"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4"/>
    </row>
    <row r="234" spans="14:25" ht="39" customHeight="1" x14ac:dyDescent="0.25"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4"/>
    </row>
    <row r="235" spans="14:25" ht="26.25" customHeight="1" x14ac:dyDescent="0.25"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4"/>
    </row>
    <row r="236" spans="14:25" ht="26.25" customHeight="1" x14ac:dyDescent="0.25"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4"/>
    </row>
    <row r="237" spans="14:25" ht="26.25" customHeight="1" x14ac:dyDescent="0.25"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4"/>
    </row>
    <row r="238" spans="14:25" ht="26.25" customHeight="1" x14ac:dyDescent="0.25"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4"/>
    </row>
    <row r="239" spans="14:25" ht="26.25" customHeight="1" x14ac:dyDescent="0.25"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4"/>
    </row>
    <row r="240" spans="14:25" ht="26.25" customHeight="1" x14ac:dyDescent="0.25"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4"/>
    </row>
    <row r="241" spans="14:25" ht="26.25" customHeight="1" x14ac:dyDescent="0.25"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4"/>
    </row>
    <row r="242" spans="14:25" ht="26.25" customHeight="1" x14ac:dyDescent="0.25"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4"/>
    </row>
    <row r="243" spans="14:25" ht="26.25" customHeight="1" x14ac:dyDescent="0.25"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4"/>
    </row>
    <row r="244" spans="14:25" ht="26.25" customHeight="1" x14ac:dyDescent="0.25"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4"/>
    </row>
    <row r="245" spans="14:25" ht="15.75" customHeight="1" x14ac:dyDescent="0.25"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4"/>
    </row>
    <row r="246" spans="14:25" ht="26.25" customHeight="1" x14ac:dyDescent="0.25"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4"/>
    </row>
    <row r="247" spans="14:25" ht="26.25" customHeight="1" x14ac:dyDescent="0.25"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4"/>
    </row>
    <row r="248" spans="14:25" ht="26.25" customHeight="1" x14ac:dyDescent="0.25"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4"/>
    </row>
    <row r="249" spans="14:25" ht="26.25" customHeight="1" x14ac:dyDescent="0.25"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4"/>
    </row>
    <row r="250" spans="14:25" ht="26.25" customHeight="1" x14ac:dyDescent="0.25"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4"/>
    </row>
    <row r="251" spans="14:25" ht="26.25" customHeight="1" x14ac:dyDescent="0.25"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4"/>
    </row>
    <row r="252" spans="14:25" ht="26.25" customHeight="1" x14ac:dyDescent="0.25"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4"/>
    </row>
    <row r="253" spans="14:25" ht="26.25" customHeight="1" x14ac:dyDescent="0.25"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4"/>
    </row>
    <row r="254" spans="14:25" ht="26.25" customHeight="1" x14ac:dyDescent="0.25"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4"/>
    </row>
    <row r="255" spans="14:25" ht="26.25" customHeight="1" x14ac:dyDescent="0.25"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4"/>
    </row>
    <row r="256" spans="14:25" ht="39" customHeight="1" x14ac:dyDescent="0.25"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4"/>
    </row>
    <row r="257" spans="14:25" ht="39" customHeight="1" x14ac:dyDescent="0.25"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4"/>
    </row>
    <row r="258" spans="14:25" ht="26.25" customHeight="1" x14ac:dyDescent="0.25"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4"/>
    </row>
    <row r="259" spans="14:25" ht="26.25" customHeight="1" x14ac:dyDescent="0.25"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4"/>
    </row>
    <row r="260" spans="14:25" ht="26.25" customHeight="1" x14ac:dyDescent="0.25"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4"/>
    </row>
    <row r="261" spans="14:25" ht="26.25" customHeight="1" x14ac:dyDescent="0.25"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4"/>
    </row>
    <row r="262" spans="14:25" ht="26.25" customHeight="1" x14ac:dyDescent="0.25"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4"/>
    </row>
    <row r="263" spans="14:25" ht="26.25" customHeight="1" x14ac:dyDescent="0.25"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4"/>
    </row>
    <row r="264" spans="14:25" ht="26.25" customHeight="1" x14ac:dyDescent="0.25"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4"/>
    </row>
    <row r="265" spans="14:25" ht="26.25" customHeight="1" x14ac:dyDescent="0.25"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4"/>
    </row>
    <row r="266" spans="14:25" ht="26.25" customHeight="1" x14ac:dyDescent="0.25"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4"/>
    </row>
    <row r="267" spans="14:25" ht="26.25" customHeight="1" x14ac:dyDescent="0.25"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4"/>
    </row>
    <row r="268" spans="14:25" ht="26.25" customHeight="1" x14ac:dyDescent="0.25"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4"/>
    </row>
    <row r="269" spans="14:25" ht="26.25" customHeight="1" x14ac:dyDescent="0.25"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4:25" ht="26.25" customHeight="1" x14ac:dyDescent="0.25"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</row>
    <row r="271" spans="14:25" ht="26.25" customHeight="1" x14ac:dyDescent="0.25"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</row>
    <row r="272" spans="14:25" ht="26.25" customHeight="1" x14ac:dyDescent="0.25"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4:25" ht="26.25" customHeight="1" x14ac:dyDescent="0.25"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</row>
    <row r="274" spans="14:25" ht="26.25" customHeight="1" x14ac:dyDescent="0.25"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</row>
    <row r="275" spans="14:25" ht="26.25" customHeight="1" x14ac:dyDescent="0.25"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</row>
    <row r="276" spans="14:25" ht="26.25" customHeight="1" x14ac:dyDescent="0.25"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</row>
    <row r="277" spans="14:25" ht="26.25" customHeight="1" x14ac:dyDescent="0.25"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</row>
    <row r="278" spans="14:25" ht="26.25" customHeight="1" x14ac:dyDescent="0.25"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</row>
    <row r="279" spans="14:25" ht="26.25" customHeight="1" x14ac:dyDescent="0.25"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</row>
    <row r="280" spans="14:25" ht="26.25" customHeight="1" x14ac:dyDescent="0.25"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</row>
    <row r="281" spans="14:25" ht="26.25" customHeight="1" x14ac:dyDescent="0.25"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</row>
    <row r="282" spans="14:25" ht="26.25" customHeight="1" x14ac:dyDescent="0.25"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</row>
    <row r="283" spans="14:25" ht="26.25" customHeight="1" x14ac:dyDescent="0.25"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</row>
    <row r="284" spans="14:25" ht="26.25" customHeight="1" x14ac:dyDescent="0.25"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</row>
    <row r="285" spans="14:25" ht="26.25" customHeight="1" x14ac:dyDescent="0.25"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</row>
    <row r="286" spans="14:25" ht="26.25" customHeight="1" x14ac:dyDescent="0.25"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</row>
    <row r="287" spans="14:25" ht="26.25" customHeight="1" x14ac:dyDescent="0.25"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14:25" ht="26.25" customHeight="1" x14ac:dyDescent="0.25"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14:25" ht="26.25" customHeight="1" x14ac:dyDescent="0.25"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14:25" ht="39" customHeight="1" x14ac:dyDescent="0.25"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14:25" ht="26.25" customHeight="1" x14ac:dyDescent="0.25"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14:25" ht="15.75" customHeight="1" x14ac:dyDescent="0.25"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</row>
    <row r="293" spans="14:25" ht="26.25" customHeight="1" x14ac:dyDescent="0.25"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4:25" ht="26.25" customHeight="1" x14ac:dyDescent="0.25"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</row>
    <row r="295" spans="14:25" ht="26.25" customHeight="1" x14ac:dyDescent="0.25"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</row>
    <row r="296" spans="14:25" ht="26.25" customHeight="1" x14ac:dyDescent="0.25"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</row>
    <row r="297" spans="14:25" ht="26.25" customHeight="1" x14ac:dyDescent="0.25"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</row>
    <row r="298" spans="14:25" ht="26.25" customHeight="1" x14ac:dyDescent="0.25"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</row>
    <row r="299" spans="14:25" ht="26.25" customHeight="1" x14ac:dyDescent="0.25"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</row>
    <row r="300" spans="14:25" ht="26.25" customHeight="1" x14ac:dyDescent="0.25"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4:25" ht="26.25" customHeight="1" x14ac:dyDescent="0.25"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4:25" ht="39" customHeight="1" x14ac:dyDescent="0.25"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4:25" ht="26.25" customHeight="1" x14ac:dyDescent="0.25"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4:25" ht="26.25" customHeight="1" x14ac:dyDescent="0.25"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4:25" ht="26.25" customHeight="1" x14ac:dyDescent="0.25"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4:25" ht="26.25" customHeight="1" x14ac:dyDescent="0.25"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4:25" ht="26.25" customHeight="1" x14ac:dyDescent="0.25"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4:25" ht="26.25" customHeight="1" x14ac:dyDescent="0.25"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4:25" ht="26.25" customHeight="1" x14ac:dyDescent="0.25"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4:25" ht="26.25" customHeight="1" x14ac:dyDescent="0.25"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4:25" ht="26.25" customHeight="1" x14ac:dyDescent="0.25"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4:25" ht="26.25" customHeight="1" x14ac:dyDescent="0.25"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4:25" ht="26.25" customHeight="1" x14ac:dyDescent="0.25"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4:25" ht="26.25" customHeight="1" x14ac:dyDescent="0.25"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4:25" ht="26.25" customHeight="1" x14ac:dyDescent="0.25"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4:25" ht="26.25" customHeight="1" x14ac:dyDescent="0.25"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4:25" ht="26.25" customHeight="1" x14ac:dyDescent="0.25"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4:25" ht="26.25" customHeight="1" x14ac:dyDescent="0.25"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4:25" ht="26.25" customHeight="1" x14ac:dyDescent="0.25"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4:25" ht="26.25" customHeight="1" x14ac:dyDescent="0.25"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4:25" ht="26.25" customHeight="1" x14ac:dyDescent="0.25"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4:25" ht="26.25" customHeight="1" x14ac:dyDescent="0.25"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4:25" ht="26.25" customHeight="1" x14ac:dyDescent="0.25"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4:25" ht="26.25" customHeight="1" x14ac:dyDescent="0.25"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4:25" ht="26.25" customHeight="1" x14ac:dyDescent="0.25"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4:25" ht="39" customHeight="1" x14ac:dyDescent="0.25"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4:25" ht="26.25" customHeight="1" x14ac:dyDescent="0.25"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4:25" ht="39" customHeight="1" x14ac:dyDescent="0.25"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4:25" ht="26.25" customHeight="1" x14ac:dyDescent="0.25"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4:25" ht="26.25" customHeight="1" x14ac:dyDescent="0.25"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4:25" ht="26.25" customHeight="1" x14ac:dyDescent="0.25"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4:25" ht="26.25" customHeight="1" x14ac:dyDescent="0.25"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4:25" ht="26.25" customHeight="1" x14ac:dyDescent="0.25"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4:25" ht="26.25" customHeight="1" x14ac:dyDescent="0.25"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4:25" ht="26.25" customHeight="1" x14ac:dyDescent="0.25"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4:25" ht="26.25" customHeight="1" x14ac:dyDescent="0.25"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4:25" ht="26.25" customHeight="1" x14ac:dyDescent="0.25"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4:25" ht="26.25" customHeight="1" x14ac:dyDescent="0.25"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4:25" ht="26.25" customHeight="1" x14ac:dyDescent="0.25"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4:25" ht="26.25" customHeight="1" x14ac:dyDescent="0.25"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4:25" ht="26.25" customHeight="1" x14ac:dyDescent="0.25"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4:25" ht="26.25" customHeight="1" x14ac:dyDescent="0.25"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4:25" ht="26.25" customHeight="1" x14ac:dyDescent="0.25"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4:25" ht="26.25" customHeight="1" x14ac:dyDescent="0.25"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4:25" ht="26.25" customHeight="1" x14ac:dyDescent="0.25"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4:25" ht="26.25" customHeight="1" x14ac:dyDescent="0.25"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4:25" ht="26.25" customHeight="1" x14ac:dyDescent="0.25"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4:25" ht="26.25" customHeight="1" x14ac:dyDescent="0.25"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4:25" ht="26.25" customHeight="1" x14ac:dyDescent="0.25"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4:25" ht="26.25" customHeight="1" x14ac:dyDescent="0.25"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4:25" ht="26.25" customHeight="1" x14ac:dyDescent="0.25"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4:25" ht="26.25" customHeight="1" x14ac:dyDescent="0.25"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4:25" ht="26.25" customHeight="1" x14ac:dyDescent="0.25"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4:25" ht="26.25" customHeight="1" x14ac:dyDescent="0.25"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4:25" ht="26.25" customHeight="1" x14ac:dyDescent="0.25"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4:25" ht="26.25" customHeight="1" x14ac:dyDescent="0.25"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4:25" ht="26.25" customHeight="1" x14ac:dyDescent="0.25"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4:25" ht="26.25" customHeight="1" x14ac:dyDescent="0.25"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4:25" ht="26.25" customHeight="1" x14ac:dyDescent="0.25"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4:25" ht="26.25" customHeight="1" x14ac:dyDescent="0.25"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4:25" ht="26.25" customHeight="1" x14ac:dyDescent="0.25"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4:25" ht="26.25" customHeight="1" x14ac:dyDescent="0.25"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4:25" ht="26.25" customHeight="1" x14ac:dyDescent="0.25"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4:25" ht="26.25" customHeight="1" x14ac:dyDescent="0.25"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4:25" ht="26.25" customHeight="1" x14ac:dyDescent="0.25"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4:25" ht="26.25" customHeight="1" x14ac:dyDescent="0.25"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4:25" ht="26.25" customHeight="1" x14ac:dyDescent="0.25"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4:25" ht="26.25" customHeight="1" x14ac:dyDescent="0.25"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4:25" ht="26.25" customHeight="1" x14ac:dyDescent="0.25"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4:25" ht="26.25" customHeight="1" x14ac:dyDescent="0.25"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4:25" ht="26.25" customHeight="1" x14ac:dyDescent="0.25"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4:25" ht="26.25" customHeight="1" x14ac:dyDescent="0.25"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4:25" ht="26.25" customHeight="1" x14ac:dyDescent="0.25"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4:25" ht="26.25" customHeight="1" x14ac:dyDescent="0.25"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4:25" ht="26.25" customHeight="1" x14ac:dyDescent="0.25"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4:25" ht="26.25" customHeight="1" x14ac:dyDescent="0.25"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4:25" ht="26.25" customHeight="1" x14ac:dyDescent="0.25"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4:25" ht="26.25" customHeight="1" x14ac:dyDescent="0.25"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4:25" ht="26.25" customHeight="1" x14ac:dyDescent="0.25"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4:25" ht="26.25" customHeight="1" x14ac:dyDescent="0.25"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4:25" ht="26.25" customHeight="1" x14ac:dyDescent="0.25"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4:25" ht="39" customHeight="1" x14ac:dyDescent="0.25"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4:25" ht="26.25" customHeight="1" x14ac:dyDescent="0.25"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4:25" ht="26.25" customHeight="1" x14ac:dyDescent="0.25"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4:25" ht="15.75" customHeight="1" x14ac:dyDescent="0.25"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4:25" ht="26.25" customHeight="1" x14ac:dyDescent="0.25"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4:25" ht="26.25" customHeight="1" x14ac:dyDescent="0.25"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4:25" ht="26.25" customHeight="1" x14ac:dyDescent="0.25"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4:25" ht="26.25" customHeight="1" x14ac:dyDescent="0.25"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4:25" ht="26.25" customHeight="1" x14ac:dyDescent="0.25"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4:25" ht="26.25" customHeight="1" x14ac:dyDescent="0.25"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4:25" ht="26.25" customHeight="1" x14ac:dyDescent="0.25"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4:25" ht="26.25" customHeight="1" x14ac:dyDescent="0.25"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4:25" ht="26.25" customHeight="1" x14ac:dyDescent="0.25"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4:25" ht="14.25" customHeight="1" x14ac:dyDescent="0.25"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4:25" ht="14.25" customHeight="1" x14ac:dyDescent="0.25"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4:25" ht="14.25" customHeight="1" x14ac:dyDescent="0.25"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4:25" ht="14.25" customHeight="1" x14ac:dyDescent="0.25"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4:25" ht="14.25" customHeight="1" x14ac:dyDescent="0.25"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4:25" ht="14.25" customHeight="1" x14ac:dyDescent="0.25"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4:25" ht="14.25" customHeight="1" x14ac:dyDescent="0.25"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4:25" ht="14.25" customHeight="1" x14ac:dyDescent="0.25"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4:25" ht="14.25" customHeight="1" x14ac:dyDescent="0.25"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4:25" ht="14.25" customHeight="1" x14ac:dyDescent="0.25"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4:25" ht="14.25" customHeight="1" x14ac:dyDescent="0.25"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4:25" ht="14.25" customHeight="1" x14ac:dyDescent="0.25"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4:25" ht="14.25" customHeight="1" x14ac:dyDescent="0.25"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4:25" ht="14.25" customHeight="1" x14ac:dyDescent="0.25"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4:25" ht="14.25" customHeight="1" x14ac:dyDescent="0.25"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4:25" ht="14.25" customHeight="1" x14ac:dyDescent="0.25"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4:25" ht="14.25" customHeight="1" x14ac:dyDescent="0.25"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4:25" ht="14.25" customHeight="1" x14ac:dyDescent="0.25"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4:25" ht="14.25" customHeight="1" x14ac:dyDescent="0.25"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4:25" ht="14.25" customHeight="1" x14ac:dyDescent="0.25"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4:25" ht="14.25" customHeight="1" x14ac:dyDescent="0.25"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4:25" ht="14.25" customHeight="1" x14ac:dyDescent="0.25"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4:25" ht="14.25" customHeight="1" x14ac:dyDescent="0.25"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4:25" ht="14.25" customHeight="1" x14ac:dyDescent="0.25"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4:25" ht="14.25" customHeight="1" x14ac:dyDescent="0.25"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4:25" ht="14.25" customHeight="1" x14ac:dyDescent="0.25"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4:25" ht="14.25" customHeight="1" x14ac:dyDescent="0.25"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4:25" ht="14.25" customHeight="1" x14ac:dyDescent="0.25"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4:25" ht="14.25" customHeight="1" x14ac:dyDescent="0.25"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4:25" ht="14.25" customHeight="1" x14ac:dyDescent="0.25"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4:25" ht="14.25" customHeight="1" x14ac:dyDescent="0.25"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4:25" ht="14.25" customHeight="1" x14ac:dyDescent="0.25"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4:25" ht="14.25" customHeight="1" x14ac:dyDescent="0.25"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4:25" ht="14.25" customHeight="1" x14ac:dyDescent="0.25"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4:25" ht="14.25" customHeight="1" x14ac:dyDescent="0.25"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4:25" ht="14.25" customHeight="1" x14ac:dyDescent="0.25"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4:25" ht="14.25" customHeight="1" x14ac:dyDescent="0.25"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4:25" ht="14.25" customHeight="1" x14ac:dyDescent="0.25"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4:25" ht="14.25" customHeight="1" x14ac:dyDescent="0.25"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4:25" ht="14.25" customHeight="1" x14ac:dyDescent="0.25"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4:25" ht="14.25" customHeight="1" x14ac:dyDescent="0.25"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4:25" ht="14.25" customHeight="1" x14ac:dyDescent="0.25"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4:25" ht="14.25" customHeight="1" x14ac:dyDescent="0.25"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4:25" ht="14.25" customHeight="1" x14ac:dyDescent="0.25"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4:25" ht="14.25" customHeight="1" x14ac:dyDescent="0.25"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4:25" ht="14.25" customHeight="1" x14ac:dyDescent="0.25"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4:25" ht="14.25" customHeight="1" x14ac:dyDescent="0.25"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4:25" ht="14.25" customHeight="1" x14ac:dyDescent="0.25"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4:25" ht="14.25" customHeight="1" x14ac:dyDescent="0.25"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4:25" ht="14.25" customHeight="1" x14ac:dyDescent="0.25"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4:25" ht="14.25" customHeight="1" x14ac:dyDescent="0.25"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4:25" ht="14.25" customHeight="1" x14ac:dyDescent="0.25"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4:25" ht="14.25" customHeight="1" x14ac:dyDescent="0.25"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4:25" ht="14.25" customHeight="1" x14ac:dyDescent="0.25"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4:25" ht="14.25" customHeight="1" x14ac:dyDescent="0.25"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4:25" ht="14.25" customHeight="1" x14ac:dyDescent="0.25"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4:25" ht="14.25" customHeight="1" x14ac:dyDescent="0.25"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4:25" ht="14.25" customHeight="1" x14ac:dyDescent="0.25"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4:25" ht="14.25" customHeight="1" x14ac:dyDescent="0.25"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4:25" ht="14.25" customHeight="1" x14ac:dyDescent="0.25"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4:25" ht="14.25" customHeight="1" x14ac:dyDescent="0.25"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4:25" ht="14.25" customHeight="1" x14ac:dyDescent="0.25"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4:25" ht="14.25" customHeight="1" x14ac:dyDescent="0.25"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4:25" ht="14.25" customHeight="1" x14ac:dyDescent="0.25"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4:25" ht="14.25" customHeight="1" x14ac:dyDescent="0.25"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4:25" ht="14.25" customHeight="1" x14ac:dyDescent="0.25"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4:25" ht="14.25" customHeight="1" x14ac:dyDescent="0.25"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4:25" ht="14.25" customHeight="1" x14ac:dyDescent="0.25"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4:25" ht="14.25" customHeight="1" x14ac:dyDescent="0.25"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4:25" ht="14.25" customHeight="1" x14ac:dyDescent="0.25"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4:25" ht="14.25" customHeight="1" x14ac:dyDescent="0.25"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4:25" ht="14.25" customHeight="1" x14ac:dyDescent="0.25"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4:25" ht="14.25" customHeight="1" x14ac:dyDescent="0.25"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4:25" ht="14.25" customHeight="1" x14ac:dyDescent="0.25"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4:25" ht="14.25" customHeight="1" x14ac:dyDescent="0.25"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4:25" ht="14.25" customHeight="1" x14ac:dyDescent="0.25"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4:25" ht="14.25" customHeight="1" x14ac:dyDescent="0.25"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4:25" ht="14.25" customHeight="1" x14ac:dyDescent="0.25"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4:25" ht="14.25" customHeight="1" x14ac:dyDescent="0.25"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4:25" ht="14.25" customHeight="1" x14ac:dyDescent="0.25"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4:25" ht="14.25" customHeight="1" x14ac:dyDescent="0.25"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4:25" ht="14.25" customHeight="1" x14ac:dyDescent="0.25"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4:25" ht="14.25" customHeight="1" x14ac:dyDescent="0.25"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4:25" ht="14.25" customHeight="1" x14ac:dyDescent="0.25"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4:25" ht="14.25" customHeight="1" x14ac:dyDescent="0.25"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4:25" ht="14.25" customHeight="1" x14ac:dyDescent="0.25"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4:25" ht="14.25" customHeight="1" x14ac:dyDescent="0.25"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4:25" ht="15.75" customHeight="1" x14ac:dyDescent="0.25"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4:25" ht="15.75" customHeight="1" x14ac:dyDescent="0.25"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4:25" ht="15.75" customHeight="1" x14ac:dyDescent="0.25"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4:25" ht="15.75" customHeight="1" x14ac:dyDescent="0.25"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4:25" ht="15.75" customHeight="1" x14ac:dyDescent="0.25"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4:25" ht="15.75" customHeight="1" x14ac:dyDescent="0.25"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4:25" ht="15.75" customHeight="1" x14ac:dyDescent="0.25"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4:25" ht="15.75" customHeight="1" x14ac:dyDescent="0.25"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4:25" ht="15.75" customHeight="1" x14ac:dyDescent="0.25"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4:25" ht="15.75" customHeight="1" x14ac:dyDescent="0.25"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4:25" ht="15.75" customHeight="1" x14ac:dyDescent="0.25"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4:25" ht="15.75" customHeight="1" x14ac:dyDescent="0.25"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4:25" ht="15.75" customHeight="1" x14ac:dyDescent="0.25"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4:25" ht="15.75" customHeight="1" x14ac:dyDescent="0.25"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4:25" ht="15.75" customHeight="1" x14ac:dyDescent="0.25"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4:25" ht="15.75" customHeight="1" x14ac:dyDescent="0.25"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4:25" ht="15.75" customHeight="1" x14ac:dyDescent="0.25"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4:25" ht="15.75" customHeight="1" x14ac:dyDescent="0.25"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4:25" ht="15.75" customHeight="1" x14ac:dyDescent="0.25"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4:25" ht="15.75" customHeight="1" x14ac:dyDescent="0.25"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4:25" ht="15.75" customHeight="1" x14ac:dyDescent="0.25"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4:25" ht="15.75" customHeight="1" x14ac:dyDescent="0.25"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4:25" ht="15.75" customHeight="1" x14ac:dyDescent="0.25"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4:25" ht="15.75" customHeight="1" x14ac:dyDescent="0.25"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4:25" ht="15.75" customHeight="1" x14ac:dyDescent="0.25"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4:25" ht="15.75" customHeight="1" x14ac:dyDescent="0.25"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4:25" ht="15.75" customHeight="1" x14ac:dyDescent="0.25"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4:25" ht="15.75" customHeight="1" x14ac:dyDescent="0.25"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4:25" ht="15.75" customHeight="1" x14ac:dyDescent="0.25"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4:25" ht="15.75" customHeight="1" x14ac:dyDescent="0.25"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4:25" ht="15.75" customHeight="1" x14ac:dyDescent="0.25"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4:25" ht="15.75" customHeight="1" x14ac:dyDescent="0.25"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4:25" ht="15.75" customHeight="1" x14ac:dyDescent="0.25"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4:25" ht="15.75" customHeight="1" x14ac:dyDescent="0.25"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4:25" ht="15.75" customHeight="1" x14ac:dyDescent="0.25"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4:25" ht="15.75" customHeight="1" x14ac:dyDescent="0.25"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4:25" ht="15.75" customHeight="1" x14ac:dyDescent="0.25"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4:25" ht="15.75" customHeight="1" x14ac:dyDescent="0.25"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4:25" ht="15.75" customHeight="1" x14ac:dyDescent="0.25"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4:25" ht="15.75" customHeight="1" x14ac:dyDescent="0.25"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4:25" ht="15.75" customHeight="1" x14ac:dyDescent="0.25"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4:25" ht="15.75" customHeight="1" x14ac:dyDescent="0.25"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4:25" ht="15.75" customHeight="1" x14ac:dyDescent="0.25"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4:25" ht="15.75" customHeight="1" x14ac:dyDescent="0.25"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4:25" ht="15.75" customHeight="1" x14ac:dyDescent="0.25"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4:25" ht="15.75" customHeight="1" x14ac:dyDescent="0.25"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4:25" ht="15.75" customHeight="1" x14ac:dyDescent="0.25"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4:25" ht="15.75" customHeight="1" x14ac:dyDescent="0.25"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4:25" ht="15.75" customHeight="1" x14ac:dyDescent="0.25"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4:25" ht="15.75" customHeight="1" x14ac:dyDescent="0.25"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4:25" ht="15.75" customHeight="1" x14ac:dyDescent="0.25"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4:25" ht="15.75" customHeight="1" x14ac:dyDescent="0.25"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4:25" ht="15.75" customHeight="1" x14ac:dyDescent="0.25"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4:25" ht="15.75" customHeight="1" x14ac:dyDescent="0.25"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4:25" ht="15.75" customHeight="1" x14ac:dyDescent="0.25"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4:25" ht="15.75" customHeight="1" x14ac:dyDescent="0.25"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4:25" ht="15.75" customHeight="1" x14ac:dyDescent="0.25"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4:25" ht="15.75" customHeight="1" x14ac:dyDescent="0.25"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4:25" ht="15.75" customHeight="1" x14ac:dyDescent="0.25"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4:25" ht="15.75" customHeight="1" x14ac:dyDescent="0.25"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4:25" ht="15.75" customHeight="1" x14ac:dyDescent="0.25"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4:25" ht="15.75" customHeight="1" x14ac:dyDescent="0.25"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4:25" ht="15.75" customHeight="1" x14ac:dyDescent="0.25"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4:25" ht="15.75" customHeight="1" x14ac:dyDescent="0.25"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4:25" ht="15.75" customHeight="1" x14ac:dyDescent="0.25"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4:25" ht="15.75" customHeight="1" x14ac:dyDescent="0.25"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4:25" ht="15.75" customHeight="1" x14ac:dyDescent="0.25"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4:25" ht="15.75" customHeight="1" x14ac:dyDescent="0.25"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4:25" ht="15.75" customHeight="1" x14ac:dyDescent="0.25"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4:25" ht="15.75" customHeight="1" x14ac:dyDescent="0.25"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4:25" ht="15.75" customHeight="1" x14ac:dyDescent="0.25"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4:25" ht="15.75" customHeight="1" x14ac:dyDescent="0.25"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4:25" ht="15.75" customHeight="1" x14ac:dyDescent="0.25"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4:25" ht="15.75" customHeight="1" x14ac:dyDescent="0.25"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4:25" ht="15.75" customHeight="1" x14ac:dyDescent="0.25"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4:25" ht="15.75" customHeight="1" x14ac:dyDescent="0.25"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4:25" ht="15.75" customHeight="1" x14ac:dyDescent="0.25"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4:25" ht="15.75" customHeight="1" x14ac:dyDescent="0.25"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4:25" ht="15.75" customHeight="1" x14ac:dyDescent="0.25"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4:25" ht="15.75" customHeight="1" x14ac:dyDescent="0.25"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4:25" ht="15.75" customHeight="1" x14ac:dyDescent="0.25"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4:25" ht="15.75" customHeight="1" x14ac:dyDescent="0.25"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4:25" ht="15.75" customHeight="1" x14ac:dyDescent="0.25"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4:25" ht="15.75" customHeight="1" x14ac:dyDescent="0.25"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4:25" ht="15.75" customHeight="1" x14ac:dyDescent="0.25"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4:25" ht="15.75" customHeight="1" x14ac:dyDescent="0.25"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4:25" ht="15.75" customHeight="1" x14ac:dyDescent="0.25"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4:25" ht="15.75" customHeight="1" x14ac:dyDescent="0.25"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4:25" ht="15.75" customHeight="1" x14ac:dyDescent="0.25"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4:25" ht="15.75" customHeight="1" x14ac:dyDescent="0.25"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4:25" ht="15.75" customHeight="1" x14ac:dyDescent="0.25"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4:25" ht="15.75" customHeight="1" x14ac:dyDescent="0.25"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4:25" ht="15.75" customHeight="1" x14ac:dyDescent="0.25"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4:25" ht="15.75" customHeight="1" x14ac:dyDescent="0.25"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4:25" ht="15.75" customHeight="1" x14ac:dyDescent="0.25"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4:25" ht="15.75" customHeight="1" x14ac:dyDescent="0.25"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4:25" ht="15.75" customHeight="1" x14ac:dyDescent="0.25"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4:25" ht="15.75" customHeight="1" x14ac:dyDescent="0.25"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4:25" ht="15.75" customHeight="1" x14ac:dyDescent="0.25"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4:25" ht="15.75" customHeight="1" x14ac:dyDescent="0.25"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4:25" ht="15.75" customHeight="1" x14ac:dyDescent="0.25"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4:25" ht="15.75" customHeight="1" x14ac:dyDescent="0.25"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4:25" ht="15.75" customHeight="1" x14ac:dyDescent="0.25"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4:25" ht="15.75" customHeight="1" x14ac:dyDescent="0.25"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4:25" ht="15.75" customHeight="1" x14ac:dyDescent="0.25"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4:25" ht="15.75" customHeight="1" x14ac:dyDescent="0.25"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4:25" ht="15.75" customHeight="1" x14ac:dyDescent="0.25"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4:25" ht="15.75" customHeight="1" x14ac:dyDescent="0.25"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4:25" ht="15.75" customHeight="1" x14ac:dyDescent="0.25"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4:25" ht="15.75" customHeight="1" x14ac:dyDescent="0.25"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4:25" ht="15.75" customHeight="1" x14ac:dyDescent="0.25"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4:25" ht="15.75" customHeight="1" x14ac:dyDescent="0.25"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4:25" ht="15.75" customHeight="1" x14ac:dyDescent="0.25"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4:25" ht="15.75" customHeight="1" x14ac:dyDescent="0.25"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4:25" ht="15.75" customHeight="1" x14ac:dyDescent="0.25"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4:25" ht="15.75" customHeight="1" x14ac:dyDescent="0.25"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4:25" ht="15.75" customHeight="1" x14ac:dyDescent="0.25"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4:25" ht="15.75" customHeight="1" x14ac:dyDescent="0.25"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4:25" ht="15.75" customHeight="1" x14ac:dyDescent="0.25"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4:25" ht="15.75" customHeight="1" x14ac:dyDescent="0.25"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4:25" ht="15.75" customHeight="1" x14ac:dyDescent="0.25"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4:25" ht="15.75" customHeight="1" x14ac:dyDescent="0.25"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4:25" ht="15.75" customHeight="1" x14ac:dyDescent="0.25"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4:25" ht="15.75" customHeight="1" x14ac:dyDescent="0.25"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4:25" ht="15.75" customHeight="1" x14ac:dyDescent="0.25"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4:25" ht="15.75" customHeight="1" x14ac:dyDescent="0.25"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4:25" ht="15.75" customHeight="1" x14ac:dyDescent="0.25"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4:25" ht="15.75" customHeight="1" x14ac:dyDescent="0.25"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4:25" ht="15.75" customHeight="1" x14ac:dyDescent="0.25"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4:25" ht="15.75" customHeight="1" x14ac:dyDescent="0.25"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4:25" ht="15.75" customHeight="1" x14ac:dyDescent="0.25"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4:25" ht="15.75" customHeight="1" x14ac:dyDescent="0.25"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4:25" ht="15.75" customHeight="1" x14ac:dyDescent="0.25"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4:25" ht="15.75" customHeight="1" x14ac:dyDescent="0.25"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4:25" ht="15.75" customHeight="1" x14ac:dyDescent="0.25"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4:25" ht="15.75" customHeight="1" x14ac:dyDescent="0.25"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4:25" ht="15.75" customHeight="1" x14ac:dyDescent="0.25"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4:25" ht="15.75" customHeight="1" x14ac:dyDescent="0.25"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4:25" ht="15.75" customHeight="1" x14ac:dyDescent="0.25"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4:25" ht="15.75" customHeight="1" x14ac:dyDescent="0.25"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4:25" ht="15.75" customHeight="1" x14ac:dyDescent="0.25"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4:25" ht="15.75" customHeight="1" x14ac:dyDescent="0.25"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4:25" ht="15.75" customHeight="1" x14ac:dyDescent="0.25"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4:25" ht="15.75" customHeight="1" x14ac:dyDescent="0.25"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4:25" ht="15.75" customHeight="1" x14ac:dyDescent="0.25"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4:25" ht="15.75" customHeight="1" x14ac:dyDescent="0.25"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4:25" ht="15.75" customHeight="1" x14ac:dyDescent="0.25"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4:25" ht="15.75" customHeight="1" x14ac:dyDescent="0.25"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4:25" ht="15.75" customHeight="1" x14ac:dyDescent="0.25"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4:25" ht="15.75" customHeight="1" x14ac:dyDescent="0.25"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4:25" ht="15.75" customHeight="1" x14ac:dyDescent="0.25"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4:25" ht="15.75" customHeight="1" x14ac:dyDescent="0.25"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4:25" ht="15.75" customHeight="1" x14ac:dyDescent="0.25"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4:25" ht="15.75" customHeight="1" x14ac:dyDescent="0.25"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4:25" ht="15.75" customHeight="1" x14ac:dyDescent="0.25"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4:25" ht="15.75" customHeight="1" x14ac:dyDescent="0.25"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4:25" ht="15.75" customHeight="1" x14ac:dyDescent="0.25"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4:25" ht="15.75" customHeight="1" x14ac:dyDescent="0.25"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4:25" ht="15.75" customHeight="1" x14ac:dyDescent="0.25"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4:25" ht="15.75" customHeight="1" x14ac:dyDescent="0.25"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4:25" ht="15.75" customHeight="1" x14ac:dyDescent="0.25"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4:25" ht="15.75" customHeight="1" x14ac:dyDescent="0.25"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4:25" ht="15.75" customHeight="1" x14ac:dyDescent="0.25"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4:25" ht="15.75" customHeight="1" x14ac:dyDescent="0.25"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4:25" ht="15.75" customHeight="1" x14ac:dyDescent="0.25"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4:25" ht="15.75" customHeight="1" x14ac:dyDescent="0.25"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4:25" ht="15.75" customHeight="1" x14ac:dyDescent="0.25"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4:25" ht="15.75" customHeight="1" x14ac:dyDescent="0.25"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4:25" ht="15.75" customHeight="1" x14ac:dyDescent="0.25"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4:25" ht="15.75" customHeight="1" x14ac:dyDescent="0.25"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4:25" ht="15.75" customHeight="1" x14ac:dyDescent="0.25"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4:25" ht="15.75" customHeight="1" x14ac:dyDescent="0.25"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4:25" ht="15.75" customHeight="1" x14ac:dyDescent="0.25"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4:25" ht="15.75" customHeight="1" x14ac:dyDescent="0.25"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4:25" ht="15.75" customHeight="1" x14ac:dyDescent="0.25"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4:25" ht="15.75" customHeight="1" x14ac:dyDescent="0.25"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4:25" ht="15.75" customHeight="1" x14ac:dyDescent="0.25"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4:25" ht="15.75" customHeight="1" x14ac:dyDescent="0.25"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4:25" ht="15.75" customHeight="1" x14ac:dyDescent="0.25"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4:25" ht="15.75" customHeight="1" x14ac:dyDescent="0.25"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4:25" ht="15.75" customHeight="1" x14ac:dyDescent="0.25"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4:25" ht="15.75" customHeight="1" x14ac:dyDescent="0.25"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4:25" ht="15.75" customHeight="1" x14ac:dyDescent="0.25"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4:25" ht="15.75" customHeight="1" x14ac:dyDescent="0.25"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4:25" ht="15.75" customHeight="1" x14ac:dyDescent="0.25"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4:25" ht="15.75" customHeight="1" x14ac:dyDescent="0.25"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4:25" ht="15.75" customHeight="1" x14ac:dyDescent="0.25"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4:25" ht="15.75" customHeight="1" x14ac:dyDescent="0.25"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4:25" ht="15.75" customHeight="1" x14ac:dyDescent="0.25"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4:25" ht="15.75" customHeight="1" x14ac:dyDescent="0.25"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4:25" ht="15.75" customHeight="1" x14ac:dyDescent="0.25"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4:25" ht="15.75" customHeight="1" x14ac:dyDescent="0.25"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4:25" ht="15.75" customHeight="1" x14ac:dyDescent="0.25"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4:25" ht="15.75" customHeight="1" x14ac:dyDescent="0.25"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4:25" ht="15.75" customHeight="1" x14ac:dyDescent="0.25"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4:25" ht="15.75" customHeight="1" x14ac:dyDescent="0.25"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4:25" ht="15.75" customHeight="1" x14ac:dyDescent="0.25"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4:25" ht="15.75" customHeight="1" x14ac:dyDescent="0.25"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4:25" ht="15.75" customHeight="1" x14ac:dyDescent="0.25"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4:25" ht="15.75" customHeight="1" x14ac:dyDescent="0.25"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4:25" ht="15.75" customHeight="1" x14ac:dyDescent="0.25"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4:25" ht="15.75" customHeight="1" x14ac:dyDescent="0.25"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4:25" ht="15.75" customHeight="1" x14ac:dyDescent="0.25"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4:25" ht="15.75" customHeight="1" x14ac:dyDescent="0.25"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4:25" ht="15.75" customHeight="1" x14ac:dyDescent="0.25"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4:25" ht="15.75" customHeight="1" x14ac:dyDescent="0.25"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4:25" ht="15.75" customHeight="1" x14ac:dyDescent="0.25"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4:25" ht="15.75" customHeight="1" x14ac:dyDescent="0.25"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4:25" ht="15.75" customHeight="1" x14ac:dyDescent="0.25"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4:25" ht="15.75" customHeight="1" x14ac:dyDescent="0.25"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4:25" ht="15.75" customHeight="1" x14ac:dyDescent="0.25"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4:25" ht="15.75" customHeight="1" x14ac:dyDescent="0.25"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4:25" ht="15.75" customHeight="1" x14ac:dyDescent="0.25"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4:25" ht="15.75" customHeight="1" x14ac:dyDescent="0.25"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4:25" ht="15.75" customHeight="1" x14ac:dyDescent="0.25"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4:25" ht="15.75" customHeight="1" x14ac:dyDescent="0.25"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4:25" ht="15.75" customHeight="1" x14ac:dyDescent="0.25"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4:25" ht="15.75" customHeight="1" x14ac:dyDescent="0.25"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4:25" ht="15.75" customHeight="1" x14ac:dyDescent="0.25"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4:25" ht="15.75" customHeight="1" x14ac:dyDescent="0.25"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4:25" ht="15.75" customHeight="1" x14ac:dyDescent="0.25"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4:25" ht="15.75" customHeight="1" x14ac:dyDescent="0.25"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4:25" ht="15.75" customHeight="1" x14ac:dyDescent="0.25"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4:25" ht="15.75" customHeight="1" x14ac:dyDescent="0.25"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4:25" ht="15.75" customHeight="1" x14ac:dyDescent="0.25"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4:25" ht="15.75" customHeight="1" x14ac:dyDescent="0.25"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4:25" ht="15.75" customHeight="1" x14ac:dyDescent="0.25"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4:25" ht="15.75" customHeight="1" x14ac:dyDescent="0.25"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4:25" ht="15.75" customHeight="1" x14ac:dyDescent="0.25"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4:25" ht="15.75" customHeight="1" x14ac:dyDescent="0.25"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4:25" ht="15.75" customHeight="1" x14ac:dyDescent="0.25"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4:25" ht="15.75" customHeight="1" x14ac:dyDescent="0.25"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4:25" ht="15.75" customHeight="1" x14ac:dyDescent="0.25"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4:25" ht="15.75" customHeight="1" x14ac:dyDescent="0.25"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4:25" ht="15.75" customHeight="1" x14ac:dyDescent="0.25"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4:25" ht="15.75" customHeight="1" x14ac:dyDescent="0.25"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4:25" ht="15.75" customHeight="1" x14ac:dyDescent="0.25"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4:25" ht="15.75" customHeight="1" x14ac:dyDescent="0.25"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4:25" ht="15.75" customHeight="1" x14ac:dyDescent="0.25"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4:25" ht="15.75" customHeight="1" x14ac:dyDescent="0.25"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4:25" ht="15.75" customHeight="1" x14ac:dyDescent="0.25"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4:25" ht="15.75" customHeight="1" x14ac:dyDescent="0.25"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4:25" ht="15.75" customHeight="1" x14ac:dyDescent="0.25"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4:25" ht="15.75" customHeight="1" x14ac:dyDescent="0.25"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4:25" ht="15.75" customHeight="1" x14ac:dyDescent="0.25"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4:25" ht="15.75" customHeight="1" x14ac:dyDescent="0.25"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4:25" ht="15.75" customHeight="1" x14ac:dyDescent="0.25"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4:25" ht="15.75" customHeight="1" x14ac:dyDescent="0.25"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4:25" ht="15.75" customHeight="1" x14ac:dyDescent="0.25"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4:25" ht="15.75" customHeight="1" x14ac:dyDescent="0.25"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4:25" ht="15.75" customHeight="1" x14ac:dyDescent="0.25"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4:25" ht="15.75" customHeight="1" x14ac:dyDescent="0.25"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4:25" ht="15.75" customHeight="1" x14ac:dyDescent="0.25"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4:25" ht="15.75" customHeight="1" x14ac:dyDescent="0.25"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4:25" ht="15.75" customHeight="1" x14ac:dyDescent="0.25"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4:25" ht="15.75" customHeight="1" x14ac:dyDescent="0.25"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4:25" ht="15.75" customHeight="1" x14ac:dyDescent="0.25"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4:25" ht="15.75" customHeight="1" x14ac:dyDescent="0.25"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4:25" ht="15.75" customHeight="1" x14ac:dyDescent="0.25"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4:25" ht="15.75" customHeight="1" x14ac:dyDescent="0.25"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4:25" ht="15.75" customHeight="1" x14ac:dyDescent="0.25"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4:25" ht="15.75" customHeight="1" x14ac:dyDescent="0.25"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4:25" ht="15.75" customHeight="1" x14ac:dyDescent="0.25"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4:25" ht="15.75" customHeight="1" x14ac:dyDescent="0.25"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4:25" ht="15.75" customHeight="1" x14ac:dyDescent="0.25"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4:25" ht="15.75" customHeight="1" x14ac:dyDescent="0.25"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4:25" ht="15.75" customHeight="1" x14ac:dyDescent="0.25"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4:25" ht="15.75" customHeight="1" x14ac:dyDescent="0.25"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4:25" ht="15.75" customHeight="1" x14ac:dyDescent="0.25"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4:25" ht="15.75" customHeight="1" x14ac:dyDescent="0.25"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4:25" ht="15.75" customHeight="1" x14ac:dyDescent="0.25"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4:25" ht="15.75" customHeight="1" x14ac:dyDescent="0.25"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4:25" ht="15.75" customHeight="1" x14ac:dyDescent="0.25"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4:25" ht="15.75" customHeight="1" x14ac:dyDescent="0.25"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4:25" ht="15.75" customHeight="1" x14ac:dyDescent="0.25"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4:25" ht="15.75" customHeight="1" x14ac:dyDescent="0.25"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4:25" ht="15.75" customHeight="1" x14ac:dyDescent="0.25"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4:25" ht="15.75" customHeight="1" x14ac:dyDescent="0.25"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4:25" ht="15.75" customHeight="1" x14ac:dyDescent="0.25"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4:25" ht="15.75" customHeight="1" x14ac:dyDescent="0.25"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4:25" ht="15.75" customHeight="1" x14ac:dyDescent="0.25"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4:25" ht="15.75" customHeight="1" x14ac:dyDescent="0.25"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4:25" ht="15.75" customHeight="1" x14ac:dyDescent="0.25"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4:25" ht="15.75" customHeight="1" x14ac:dyDescent="0.25"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4:25" ht="15.75" customHeight="1" x14ac:dyDescent="0.25"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4:25" ht="15.75" customHeight="1" x14ac:dyDescent="0.25"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4:25" ht="15.75" customHeight="1" x14ac:dyDescent="0.25"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4:25" ht="15.75" customHeight="1" x14ac:dyDescent="0.25"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4:25" ht="15.75" customHeight="1" x14ac:dyDescent="0.25"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4:25" ht="15.75" customHeight="1" x14ac:dyDescent="0.25"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4:25" ht="15.75" customHeight="1" x14ac:dyDescent="0.25"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4:25" ht="15.75" customHeight="1" x14ac:dyDescent="0.25"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4:25" ht="15.75" customHeight="1" x14ac:dyDescent="0.25"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4:25" ht="15.75" customHeight="1" x14ac:dyDescent="0.25"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4:25" ht="15.75" customHeight="1" x14ac:dyDescent="0.25"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4:25" ht="15.75" customHeight="1" x14ac:dyDescent="0.25"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4:25" ht="15.75" customHeight="1" x14ac:dyDescent="0.25"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4:25" ht="15.75" customHeight="1" x14ac:dyDescent="0.25"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4:25" ht="15.75" customHeight="1" x14ac:dyDescent="0.25"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4:25" ht="15.75" customHeight="1" x14ac:dyDescent="0.25"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4:25" ht="15.75" customHeight="1" x14ac:dyDescent="0.25"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4:25" ht="15.75" customHeight="1" x14ac:dyDescent="0.25"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4:25" ht="15.75" customHeight="1" x14ac:dyDescent="0.25"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4:25" ht="15.75" customHeight="1" x14ac:dyDescent="0.25"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4:25" ht="15.75" customHeight="1" x14ac:dyDescent="0.25"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4:25" ht="15.75" customHeight="1" x14ac:dyDescent="0.25"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4:25" ht="15.75" customHeight="1" x14ac:dyDescent="0.25"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4:25" ht="15.75" customHeight="1" x14ac:dyDescent="0.25"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4:25" ht="15.75" customHeight="1" x14ac:dyDescent="0.25"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4:25" ht="15.75" customHeight="1" x14ac:dyDescent="0.25"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4:25" ht="15.75" customHeight="1" x14ac:dyDescent="0.25"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4:25" ht="15.75" customHeight="1" x14ac:dyDescent="0.25"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4:25" ht="15.75" customHeight="1" x14ac:dyDescent="0.25"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4:25" ht="15.75" customHeight="1" x14ac:dyDescent="0.25"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4:25" ht="15.75" customHeight="1" x14ac:dyDescent="0.25"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4:25" ht="15.75" customHeight="1" x14ac:dyDescent="0.25"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4:25" ht="15.75" customHeight="1" x14ac:dyDescent="0.25"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4:25" ht="15.75" customHeight="1" x14ac:dyDescent="0.25"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4:25" ht="15.75" customHeight="1" x14ac:dyDescent="0.25"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4:25" ht="15.75" customHeight="1" x14ac:dyDescent="0.25"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4:25" ht="15.75" customHeight="1" x14ac:dyDescent="0.25"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4:25" ht="15.75" customHeight="1" x14ac:dyDescent="0.25"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4:25" ht="15.75" customHeight="1" x14ac:dyDescent="0.25"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4:25" ht="15.75" customHeight="1" x14ac:dyDescent="0.25"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4:25" ht="15.75" customHeight="1" x14ac:dyDescent="0.25"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4:25" ht="15.75" customHeight="1" x14ac:dyDescent="0.25"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4:25" ht="15.75" customHeight="1" x14ac:dyDescent="0.25"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4:25" ht="15.75" customHeight="1" x14ac:dyDescent="0.25"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4:25" ht="15.75" customHeight="1" x14ac:dyDescent="0.25"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4:25" ht="15.75" customHeight="1" x14ac:dyDescent="0.25"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4:25" ht="15.75" customHeight="1" x14ac:dyDescent="0.25"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4:25" ht="15.75" customHeight="1" x14ac:dyDescent="0.25"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4:25" ht="15.75" customHeight="1" x14ac:dyDescent="0.25"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4:25" ht="15.75" customHeight="1" x14ac:dyDescent="0.25"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4:25" ht="15.75" customHeight="1" x14ac:dyDescent="0.25"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4:25" ht="15.75" customHeight="1" x14ac:dyDescent="0.25"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4:25" ht="15.75" customHeight="1" x14ac:dyDescent="0.25"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4:25" ht="15.75" customHeight="1" x14ac:dyDescent="0.25"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4:25" ht="15.75" customHeight="1" x14ac:dyDescent="0.25"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4:25" ht="15.75" customHeight="1" x14ac:dyDescent="0.25"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4:25" ht="15.75" customHeight="1" x14ac:dyDescent="0.25"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4:25" ht="15.75" customHeight="1" x14ac:dyDescent="0.25"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4:25" ht="15.75" customHeight="1" x14ac:dyDescent="0.25"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4:25" ht="15.75" customHeight="1" x14ac:dyDescent="0.25"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4:25" ht="15.75" customHeight="1" x14ac:dyDescent="0.25"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4:25" ht="15.75" customHeight="1" x14ac:dyDescent="0.25"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4:25" ht="15.75" customHeight="1" x14ac:dyDescent="0.25"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4:25" ht="15.75" customHeight="1" x14ac:dyDescent="0.25"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4:25" ht="15.75" customHeight="1" x14ac:dyDescent="0.25"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4:25" ht="15.75" customHeight="1" x14ac:dyDescent="0.25"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4:25" ht="15.75" customHeight="1" x14ac:dyDescent="0.25"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4:25" ht="15.75" customHeight="1" x14ac:dyDescent="0.25"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4:25" ht="15.75" customHeight="1" x14ac:dyDescent="0.25"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4:25" ht="15.75" customHeight="1" x14ac:dyDescent="0.25"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4:25" ht="15.75" customHeight="1" x14ac:dyDescent="0.25"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4:25" ht="15.75" customHeight="1" x14ac:dyDescent="0.25"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4:25" ht="15.75" customHeight="1" x14ac:dyDescent="0.25"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4:25" ht="15.75" customHeight="1" x14ac:dyDescent="0.25"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4:25" ht="15.75" customHeight="1" x14ac:dyDescent="0.25"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4:25" ht="15.75" customHeight="1" x14ac:dyDescent="0.25"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4:25" ht="15.75" customHeight="1" x14ac:dyDescent="0.25"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4:25" ht="15.75" customHeight="1" x14ac:dyDescent="0.25"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4:25" ht="15.75" customHeight="1" x14ac:dyDescent="0.25"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4:25" ht="15.75" customHeight="1" x14ac:dyDescent="0.25"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4:25" ht="15.75" customHeight="1" x14ac:dyDescent="0.25"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4:25" ht="15.75" customHeight="1" x14ac:dyDescent="0.25"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4:25" ht="15.75" customHeight="1" x14ac:dyDescent="0.25"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4:25" ht="15.75" customHeight="1" x14ac:dyDescent="0.25"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4:25" ht="15.75" customHeight="1" x14ac:dyDescent="0.25"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4:25" ht="15.75" customHeight="1" x14ac:dyDescent="0.25"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4:25" ht="15.75" customHeight="1" x14ac:dyDescent="0.25"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4:25" ht="15.75" customHeight="1" x14ac:dyDescent="0.25"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4:25" ht="15.75" customHeight="1" x14ac:dyDescent="0.25"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4:25" ht="15.75" customHeight="1" x14ac:dyDescent="0.25"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4:25" ht="15.75" customHeight="1" x14ac:dyDescent="0.25"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4:25" ht="15.75" customHeight="1" x14ac:dyDescent="0.25"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4:25" ht="15.75" customHeight="1" x14ac:dyDescent="0.25"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4:25" ht="15.75" customHeight="1" x14ac:dyDescent="0.25"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4:25" ht="15.75" customHeight="1" x14ac:dyDescent="0.25"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4:25" ht="15.75" customHeight="1" x14ac:dyDescent="0.25"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4:25" ht="15.75" customHeight="1" x14ac:dyDescent="0.25"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4:25" ht="15.75" customHeight="1" x14ac:dyDescent="0.25"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4:25" ht="15.75" customHeight="1" x14ac:dyDescent="0.25"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4:25" ht="15.75" customHeight="1" x14ac:dyDescent="0.25"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4:25" ht="15.75" customHeight="1" x14ac:dyDescent="0.25"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4:25" ht="15.75" customHeight="1" x14ac:dyDescent="0.25"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4:25" ht="15.75" customHeight="1" x14ac:dyDescent="0.25"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4:25" ht="15.75" customHeight="1" x14ac:dyDescent="0.25"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4:25" ht="15.75" customHeight="1" x14ac:dyDescent="0.25"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4:25" ht="15.75" customHeight="1" x14ac:dyDescent="0.25"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4:25" ht="15.75" customHeight="1" x14ac:dyDescent="0.25"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4:25" ht="15.75" customHeight="1" x14ac:dyDescent="0.25"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4:25" ht="15.75" customHeight="1" x14ac:dyDescent="0.25"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4:25" ht="15.75" customHeight="1" x14ac:dyDescent="0.25"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4:25" ht="15.75" customHeight="1" x14ac:dyDescent="0.25"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4:25" ht="15.75" customHeight="1" x14ac:dyDescent="0.25"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4:25" ht="15.75" customHeight="1" x14ac:dyDescent="0.25"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4:25" ht="15.75" customHeight="1" x14ac:dyDescent="0.25"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4:25" ht="15.75" customHeight="1" x14ac:dyDescent="0.25"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4:25" ht="15.75" customHeight="1" x14ac:dyDescent="0.25"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4:25" ht="15.75" customHeight="1" x14ac:dyDescent="0.25"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4:25" ht="15.75" customHeight="1" x14ac:dyDescent="0.25"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4:25" ht="15.75" customHeight="1" x14ac:dyDescent="0.25"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4:25" ht="15.75" customHeight="1" x14ac:dyDescent="0.25"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4:25" ht="15.75" customHeight="1" x14ac:dyDescent="0.25"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4:25" ht="15.75" customHeight="1" x14ac:dyDescent="0.25"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4:25" ht="15.75" customHeight="1" x14ac:dyDescent="0.25"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4:25" ht="15.75" customHeight="1" x14ac:dyDescent="0.25"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4:25" ht="15.75" customHeight="1" x14ac:dyDescent="0.25"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4:25" ht="15.75" customHeight="1" x14ac:dyDescent="0.25"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4:25" ht="15.75" customHeight="1" x14ac:dyDescent="0.25"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4:25" ht="15.75" customHeight="1" x14ac:dyDescent="0.25"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4:25" ht="15.75" customHeight="1" x14ac:dyDescent="0.25"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4:25" ht="15.75" customHeight="1" x14ac:dyDescent="0.25"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4:25" ht="15.75" customHeight="1" x14ac:dyDescent="0.25"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4:25" ht="15.75" customHeight="1" x14ac:dyDescent="0.25"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4:25" ht="15.75" customHeight="1" x14ac:dyDescent="0.25"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4:25" ht="15.75" customHeight="1" x14ac:dyDescent="0.25"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4:25" ht="15.75" customHeight="1" x14ac:dyDescent="0.25"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4:25" ht="15.75" customHeight="1" x14ac:dyDescent="0.25"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4:25" ht="15.75" customHeight="1" x14ac:dyDescent="0.25"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4:25" ht="15.75" customHeight="1" x14ac:dyDescent="0.25"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4:25" ht="15.75" customHeight="1" x14ac:dyDescent="0.25"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4:25" ht="15.75" customHeight="1" x14ac:dyDescent="0.25"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4:25" ht="15.75" customHeight="1" x14ac:dyDescent="0.25"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4:25" ht="15.75" customHeight="1" x14ac:dyDescent="0.25"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4:25" ht="15.75" customHeight="1" x14ac:dyDescent="0.25"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4:25" ht="15.75" customHeight="1" x14ac:dyDescent="0.25"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4:25" ht="15.75" customHeight="1" x14ac:dyDescent="0.25"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4:25" ht="15.75" customHeight="1" x14ac:dyDescent="0.25"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4:25" ht="15.75" customHeight="1" x14ac:dyDescent="0.25"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4:25" ht="15.75" customHeight="1" x14ac:dyDescent="0.25"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4:25" ht="15.75" customHeight="1" x14ac:dyDescent="0.25"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4:25" ht="15.75" customHeight="1" x14ac:dyDescent="0.25"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4:25" ht="15.75" customHeight="1" x14ac:dyDescent="0.25"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4:25" ht="15.75" customHeight="1" x14ac:dyDescent="0.25"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4:25" ht="15.75" customHeight="1" x14ac:dyDescent="0.25"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4:25" ht="15.75" customHeight="1" x14ac:dyDescent="0.25"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4:25" ht="15.75" customHeight="1" x14ac:dyDescent="0.25"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4:25" ht="15.75" customHeight="1" x14ac:dyDescent="0.25"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4:25" ht="15.75" customHeight="1" x14ac:dyDescent="0.25"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4:25" ht="15.75" customHeight="1" x14ac:dyDescent="0.25"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4:25" ht="15.75" customHeight="1" x14ac:dyDescent="0.25"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4:25" ht="15.75" customHeight="1" x14ac:dyDescent="0.25"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4:25" ht="15.75" customHeight="1" x14ac:dyDescent="0.25"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4:25" ht="15.75" customHeight="1" x14ac:dyDescent="0.25"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4:25" ht="15.75" customHeight="1" x14ac:dyDescent="0.25"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4:25" ht="15.75" customHeight="1" x14ac:dyDescent="0.25"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4:25" ht="15.75" customHeight="1" x14ac:dyDescent="0.25"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4:25" ht="15.75" customHeight="1" x14ac:dyDescent="0.25"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4:25" ht="15.75" customHeight="1" x14ac:dyDescent="0.25"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4:25" ht="15.75" customHeight="1" x14ac:dyDescent="0.25"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4:25" ht="15.75" customHeight="1" x14ac:dyDescent="0.25"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4:25" ht="15.75" customHeight="1" x14ac:dyDescent="0.25"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4:25" ht="15.75" customHeight="1" x14ac:dyDescent="0.25"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4:25" ht="15.75" customHeight="1" x14ac:dyDescent="0.25"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4:25" ht="15.75" customHeight="1" x14ac:dyDescent="0.25"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4:25" ht="15.75" customHeight="1" x14ac:dyDescent="0.25"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4:25" ht="15.75" customHeight="1" x14ac:dyDescent="0.25"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4:25" ht="15.75" customHeight="1" x14ac:dyDescent="0.25"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4:25" ht="15.75" customHeight="1" x14ac:dyDescent="0.25"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4:25" ht="15.75" customHeight="1" x14ac:dyDescent="0.25"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4:25" ht="15.75" customHeight="1" x14ac:dyDescent="0.25"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4:25" ht="15.75" customHeight="1" x14ac:dyDescent="0.25"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4:25" ht="15.75" customHeight="1" x14ac:dyDescent="0.25"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4:25" ht="15.75" customHeight="1" x14ac:dyDescent="0.25"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4:25" ht="15.75" customHeight="1" x14ac:dyDescent="0.25"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4:25" ht="15.75" customHeight="1" x14ac:dyDescent="0.25"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4:25" ht="15.75" customHeight="1" x14ac:dyDescent="0.25"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4:25" ht="15.75" customHeight="1" x14ac:dyDescent="0.25"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4:25" ht="15.75" customHeight="1" x14ac:dyDescent="0.25"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4:25" ht="15.75" customHeight="1" x14ac:dyDescent="0.25"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4:25" ht="15.75" customHeight="1" x14ac:dyDescent="0.25"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4:25" ht="15.75" customHeight="1" x14ac:dyDescent="0.25"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4:25" ht="15.75" customHeight="1" x14ac:dyDescent="0.25"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4:25" ht="15.75" customHeight="1" x14ac:dyDescent="0.25"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4:25" ht="15.75" customHeight="1" x14ac:dyDescent="0.25"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4:25" ht="15.75" customHeight="1" x14ac:dyDescent="0.25"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4:25" ht="15.75" customHeight="1" x14ac:dyDescent="0.25"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4:25" ht="15.75" customHeight="1" x14ac:dyDescent="0.25"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4:25" ht="15.75" customHeight="1" x14ac:dyDescent="0.25"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4:25" ht="15.75" customHeight="1" x14ac:dyDescent="0.25"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4:25" ht="15.75" customHeight="1" x14ac:dyDescent="0.25"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4:25" ht="15.75" customHeight="1" x14ac:dyDescent="0.25"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4:25" ht="15.75" customHeight="1" x14ac:dyDescent="0.25"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4:25" ht="15.75" customHeight="1" x14ac:dyDescent="0.25"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4:25" ht="15.75" customHeight="1" x14ac:dyDescent="0.25"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4:25" ht="15.75" customHeight="1" x14ac:dyDescent="0.25"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4:25" ht="15.75" customHeight="1" x14ac:dyDescent="0.25"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4:25" ht="15.75" customHeight="1" x14ac:dyDescent="0.25"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4:25" ht="15.75" customHeight="1" x14ac:dyDescent="0.25"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4:25" ht="15.75" customHeight="1" x14ac:dyDescent="0.25"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4:25" ht="15.75" customHeight="1" x14ac:dyDescent="0.25"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4:25" ht="15.75" customHeight="1" x14ac:dyDescent="0.25"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4:25" ht="15.75" customHeight="1" x14ac:dyDescent="0.25"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4:25" ht="15.75" customHeight="1" x14ac:dyDescent="0.25"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4:25" ht="15.75" customHeight="1" x14ac:dyDescent="0.25"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4:25" ht="15.75" customHeight="1" x14ac:dyDescent="0.25"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4:25" ht="15.75" customHeight="1" x14ac:dyDescent="0.25"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4:25" ht="15.75" customHeight="1" x14ac:dyDescent="0.25"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4:25" ht="15.75" customHeight="1" x14ac:dyDescent="0.25"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4:25" ht="15.75" customHeight="1" x14ac:dyDescent="0.25"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4:25" ht="15.75" customHeight="1" x14ac:dyDescent="0.25"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4:25" ht="15.75" customHeight="1" x14ac:dyDescent="0.25"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4:25" ht="15.75" customHeight="1" x14ac:dyDescent="0.25"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4:25" ht="15.75" customHeight="1" x14ac:dyDescent="0.25"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4:25" ht="15.75" customHeight="1" x14ac:dyDescent="0.25"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4:25" ht="15.75" customHeight="1" x14ac:dyDescent="0.25"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4:25" ht="15.75" customHeight="1" x14ac:dyDescent="0.25"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4:25" ht="15.75" customHeight="1" x14ac:dyDescent="0.25"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4:25" ht="15.75" customHeight="1" x14ac:dyDescent="0.25"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4:25" ht="15.75" customHeight="1" x14ac:dyDescent="0.25"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4:25" ht="15.75" customHeight="1" x14ac:dyDescent="0.25"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4:25" ht="15.75" customHeight="1" x14ac:dyDescent="0.25"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4:25" ht="15.75" customHeight="1" x14ac:dyDescent="0.25"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4:25" ht="15.75" customHeight="1" x14ac:dyDescent="0.25"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4:25" ht="15" customHeight="1" x14ac:dyDescent="0.25"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4:25" ht="15" customHeight="1" x14ac:dyDescent="0.25"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4:25" ht="15" customHeight="1" x14ac:dyDescent="0.25"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4:25" ht="15" customHeight="1" x14ac:dyDescent="0.25"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4:25" ht="15" customHeight="1" x14ac:dyDescent="0.25"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4:25" ht="15" customHeight="1" x14ac:dyDescent="0.25"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4:25" ht="15" customHeight="1" x14ac:dyDescent="0.25"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4:25" ht="15" customHeight="1" x14ac:dyDescent="0.25"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4:25" ht="15" customHeight="1" x14ac:dyDescent="0.25"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4:25" ht="15" customHeight="1" x14ac:dyDescent="0.25"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4:25" ht="15" customHeight="1" x14ac:dyDescent="0.25"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4:25" ht="15" customHeight="1" x14ac:dyDescent="0.25"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4:25" ht="15" customHeight="1" x14ac:dyDescent="0.25"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4:25" ht="15" customHeight="1" x14ac:dyDescent="0.25"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4:25" ht="15" customHeight="1" x14ac:dyDescent="0.25"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4:25" ht="15" customHeight="1" x14ac:dyDescent="0.25"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4:25" ht="15" customHeight="1" x14ac:dyDescent="0.25"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4:25" ht="15" customHeight="1" x14ac:dyDescent="0.25"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4:25" ht="15" customHeight="1" x14ac:dyDescent="0.25"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4:25" ht="15" customHeight="1" x14ac:dyDescent="0.25"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4:25" ht="15" customHeight="1" x14ac:dyDescent="0.25"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4:25" ht="15" customHeight="1" x14ac:dyDescent="0.25"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4:25" ht="15" customHeight="1" x14ac:dyDescent="0.25"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4:25" ht="15" customHeight="1" x14ac:dyDescent="0.25"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4:25" ht="15" customHeight="1" x14ac:dyDescent="0.25"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4:25" ht="15" customHeight="1" x14ac:dyDescent="0.25"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4:25" ht="15" customHeight="1" x14ac:dyDescent="0.25"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4:25" ht="15" customHeight="1" x14ac:dyDescent="0.25"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4:25" ht="15" customHeight="1" x14ac:dyDescent="0.25"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4:25" ht="15" customHeight="1" x14ac:dyDescent="0.25"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4:25" ht="15" customHeight="1" x14ac:dyDescent="0.25"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4:25" ht="15" customHeight="1" x14ac:dyDescent="0.25"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4:25" ht="15" customHeight="1" x14ac:dyDescent="0.25"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4:25" ht="15" customHeight="1" x14ac:dyDescent="0.25"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4:25" ht="15" customHeight="1" x14ac:dyDescent="0.25"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4:25" ht="15" customHeight="1" x14ac:dyDescent="0.25"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4:25" ht="15" customHeight="1" x14ac:dyDescent="0.25"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4:25" ht="15" customHeight="1" x14ac:dyDescent="0.25"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4:25" ht="15" customHeight="1" x14ac:dyDescent="0.25"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4:25" ht="15" customHeight="1" x14ac:dyDescent="0.25"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4:25" ht="15" customHeight="1" x14ac:dyDescent="0.25"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4:25" ht="15" customHeight="1" x14ac:dyDescent="0.25"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4:25" ht="15" customHeight="1" x14ac:dyDescent="0.25"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4:25" ht="15" customHeight="1" x14ac:dyDescent="0.25"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4:25" ht="15" customHeight="1" x14ac:dyDescent="0.25"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4:25" ht="15" customHeight="1" x14ac:dyDescent="0.25"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4:25" ht="15" customHeight="1" x14ac:dyDescent="0.25"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4:25" ht="15" customHeight="1" x14ac:dyDescent="0.25"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4:25" ht="15" customHeight="1" x14ac:dyDescent="0.25"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4:25" ht="15" customHeight="1" x14ac:dyDescent="0.25"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4:25" ht="15" customHeight="1" x14ac:dyDescent="0.25"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4:25" ht="15" customHeight="1" x14ac:dyDescent="0.25"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4:25" ht="15" customHeight="1" x14ac:dyDescent="0.25"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4:25" ht="15" customHeight="1" x14ac:dyDescent="0.25"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4:25" ht="15" customHeight="1" x14ac:dyDescent="0.25"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4:25" ht="15" customHeight="1" x14ac:dyDescent="0.25"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4:25" ht="15" customHeight="1" x14ac:dyDescent="0.25"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4:25" ht="15" customHeight="1" x14ac:dyDescent="0.25"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4:25" ht="15" customHeight="1" x14ac:dyDescent="0.25"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4:25" ht="15" customHeight="1" x14ac:dyDescent="0.25"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4:25" ht="15" customHeight="1" x14ac:dyDescent="0.25"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4:25" ht="15" customHeight="1" x14ac:dyDescent="0.25"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4:25" ht="15" customHeight="1" x14ac:dyDescent="0.25"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4:25" ht="15" customHeight="1" x14ac:dyDescent="0.25"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4:25" ht="15" customHeight="1" x14ac:dyDescent="0.25"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4:25" ht="15" customHeight="1" x14ac:dyDescent="0.25"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4:25" ht="15" customHeight="1" x14ac:dyDescent="0.25"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4:25" ht="15" customHeight="1" x14ac:dyDescent="0.25"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4:25" ht="15" customHeight="1" x14ac:dyDescent="0.25"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4:25" ht="15" customHeight="1" x14ac:dyDescent="0.25"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4:25" ht="15" customHeight="1" x14ac:dyDescent="0.25"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4:25" ht="15" customHeight="1" x14ac:dyDescent="0.25"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4:25" ht="15" customHeight="1" x14ac:dyDescent="0.25"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4:25" ht="15" customHeight="1" x14ac:dyDescent="0.25"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4:25" ht="15" customHeight="1" x14ac:dyDescent="0.25"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4:25" ht="15" customHeight="1" x14ac:dyDescent="0.25"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4:25" ht="15" customHeight="1" x14ac:dyDescent="0.25"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pans="14:25" ht="15" customHeight="1" x14ac:dyDescent="0.25"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pans="14:25" ht="15" customHeight="1" x14ac:dyDescent="0.25"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pans="14:25" ht="15" customHeight="1" x14ac:dyDescent="0.25"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pans="14:25" ht="15" customHeight="1" x14ac:dyDescent="0.25"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pans="14:25" ht="15" customHeight="1" x14ac:dyDescent="0.25"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pans="14:25" ht="15" customHeight="1" x14ac:dyDescent="0.25"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pans="14:25" ht="15" customHeight="1" x14ac:dyDescent="0.25"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pans="14:25" ht="15" customHeight="1" x14ac:dyDescent="0.25"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pans="14:25" ht="15" customHeight="1" x14ac:dyDescent="0.25"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pans="14:25" ht="15" customHeight="1" x14ac:dyDescent="0.25"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pans="14:25" ht="15" customHeight="1" x14ac:dyDescent="0.25"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pans="14:25" ht="15" customHeight="1" x14ac:dyDescent="0.25"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pans="14:25" ht="15" customHeight="1" x14ac:dyDescent="0.25"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pans="14:25" ht="15" customHeight="1" x14ac:dyDescent="0.25"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pans="14:25" ht="15" customHeight="1" x14ac:dyDescent="0.25"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pans="14:25" ht="15" customHeight="1" x14ac:dyDescent="0.25"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pans="14:25" ht="15" customHeight="1" x14ac:dyDescent="0.25"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pans="14:25" ht="15" customHeight="1" x14ac:dyDescent="0.25"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pans="14:25" ht="15" customHeight="1" x14ac:dyDescent="0.25"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pans="14:25" ht="15" customHeight="1" x14ac:dyDescent="0.25"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pans="14:25" ht="15" customHeight="1" x14ac:dyDescent="0.25"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pans="14:25" ht="15" customHeight="1" x14ac:dyDescent="0.25"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pans="14:25" ht="15" customHeight="1" x14ac:dyDescent="0.25"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pans="14:25" ht="15" customHeight="1" x14ac:dyDescent="0.25"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pans="14:25" ht="15" customHeight="1" x14ac:dyDescent="0.25"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pans="14:25" ht="15" customHeight="1" x14ac:dyDescent="0.25"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pans="14:25" ht="15" customHeight="1" x14ac:dyDescent="0.25"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pans="14:25" ht="15" customHeight="1" x14ac:dyDescent="0.25"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pans="14:25" ht="15" customHeight="1" x14ac:dyDescent="0.25"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pans="14:25" ht="15" customHeight="1" x14ac:dyDescent="0.25"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pans="14:25" ht="15" customHeight="1" x14ac:dyDescent="0.25"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</row>
    <row r="1106" spans="14:25" ht="15" customHeight="1" x14ac:dyDescent="0.25"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pans="14:25" ht="15" customHeight="1" x14ac:dyDescent="0.25"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pans="14:25" ht="15" customHeight="1" x14ac:dyDescent="0.25"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pans="14:25" ht="15" customHeight="1" x14ac:dyDescent="0.25"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pans="14:25" ht="15" customHeight="1" x14ac:dyDescent="0.25"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pans="14:25" ht="15" customHeight="1" x14ac:dyDescent="0.25"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pans="14:25" ht="15" customHeight="1" x14ac:dyDescent="0.25"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pans="14:25" ht="15" customHeight="1" x14ac:dyDescent="0.25"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pans="14:25" ht="15" customHeight="1" x14ac:dyDescent="0.25"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pans="14:25" ht="15" customHeight="1" x14ac:dyDescent="0.25"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pans="14:25" ht="15" customHeight="1" x14ac:dyDescent="0.25"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pans="14:25" ht="15" customHeight="1" x14ac:dyDescent="0.25"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</row>
    <row r="1118" spans="14:25" ht="15" customHeight="1" x14ac:dyDescent="0.25"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</row>
    <row r="1119" spans="14:25" ht="15" customHeight="1" x14ac:dyDescent="0.25"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</row>
    <row r="1120" spans="14:25" ht="15" customHeight="1" x14ac:dyDescent="0.25"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pans="14:25" ht="15" customHeight="1" x14ac:dyDescent="0.25"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pans="14:25" ht="15" customHeight="1" x14ac:dyDescent="0.25"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pans="14:25" ht="15" customHeight="1" x14ac:dyDescent="0.25"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pans="14:25" ht="15" customHeight="1" x14ac:dyDescent="0.25"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pans="14:25" ht="15" customHeight="1" x14ac:dyDescent="0.25"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</row>
    <row r="1126" spans="14:25" ht="15" customHeight="1" x14ac:dyDescent="0.25"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</row>
    <row r="1127" spans="14:25" ht="15" customHeight="1" x14ac:dyDescent="0.25"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</row>
    <row r="1128" spans="14:25" ht="15" customHeight="1" x14ac:dyDescent="0.25"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</row>
    <row r="1129" spans="14:25" ht="15" customHeight="1" x14ac:dyDescent="0.25"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</row>
    <row r="1130" spans="14:25" ht="15" customHeight="1" x14ac:dyDescent="0.25"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</row>
    <row r="1131" spans="14:25" ht="15" customHeight="1" x14ac:dyDescent="0.25"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</row>
    <row r="1132" spans="14:25" ht="15" customHeight="1" x14ac:dyDescent="0.25"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</row>
    <row r="1133" spans="14:25" ht="15" customHeight="1" x14ac:dyDescent="0.25"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</row>
    <row r="1134" spans="14:25" ht="15" customHeight="1" x14ac:dyDescent="0.25"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</row>
    <row r="1135" spans="14:25" ht="15" customHeight="1" x14ac:dyDescent="0.25"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</row>
    <row r="1136" spans="14:25" ht="15" customHeight="1" x14ac:dyDescent="0.25"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</row>
    <row r="1137" spans="14:25" ht="15" customHeight="1" x14ac:dyDescent="0.25"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</row>
    <row r="1138" spans="14:25" ht="15" customHeight="1" x14ac:dyDescent="0.25"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</row>
    <row r="1139" spans="14:25" ht="15" customHeight="1" x14ac:dyDescent="0.25"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</row>
    <row r="1140" spans="14:25" ht="15" customHeight="1" x14ac:dyDescent="0.25"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</row>
    <row r="1141" spans="14:25" ht="15" customHeight="1" x14ac:dyDescent="0.25"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</row>
    <row r="1142" spans="14:25" ht="15" customHeight="1" x14ac:dyDescent="0.25"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</row>
    <row r="1143" spans="14:25" ht="15" customHeight="1" x14ac:dyDescent="0.25"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</row>
    <row r="1144" spans="14:25" ht="15" customHeight="1" x14ac:dyDescent="0.25"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</row>
    <row r="1145" spans="14:25" ht="15" customHeight="1" x14ac:dyDescent="0.25"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</row>
    <row r="1146" spans="14:25" ht="15" customHeight="1" x14ac:dyDescent="0.25"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</row>
    <row r="1147" spans="14:25" ht="15" customHeight="1" x14ac:dyDescent="0.25"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</row>
    <row r="1148" spans="14:25" ht="15" customHeight="1" x14ac:dyDescent="0.25"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</row>
    <row r="1149" spans="14:25" ht="15" customHeight="1" x14ac:dyDescent="0.25"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</row>
    <row r="1150" spans="14:25" ht="15" customHeight="1" x14ac:dyDescent="0.25"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</row>
    <row r="1151" spans="14:25" ht="15" customHeight="1" x14ac:dyDescent="0.25"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</row>
    <row r="1152" spans="14:25" ht="15" customHeight="1" x14ac:dyDescent="0.25"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</row>
    <row r="1153" spans="14:25" ht="15" customHeight="1" x14ac:dyDescent="0.25"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</row>
    <row r="1154" spans="14:25" ht="15" customHeight="1" x14ac:dyDescent="0.25"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</row>
    <row r="1155" spans="14:25" ht="15" customHeight="1" x14ac:dyDescent="0.25"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</row>
    <row r="1156" spans="14:25" ht="15" customHeight="1" x14ac:dyDescent="0.25"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</row>
    <row r="1157" spans="14:25" ht="15" customHeight="1" x14ac:dyDescent="0.25"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</row>
    <row r="1158" spans="14:25" ht="15" customHeight="1" x14ac:dyDescent="0.25"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</row>
    <row r="1159" spans="14:25" ht="15" customHeight="1" x14ac:dyDescent="0.25"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</row>
    <row r="1160" spans="14:25" ht="15" customHeight="1" x14ac:dyDescent="0.25"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</row>
    <row r="1161" spans="14:25" ht="15" customHeight="1" x14ac:dyDescent="0.25"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</row>
    <row r="1162" spans="14:25" ht="15" customHeight="1" x14ac:dyDescent="0.25"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</row>
    <row r="1163" spans="14:25" ht="15" customHeight="1" x14ac:dyDescent="0.25"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</row>
    <row r="1164" spans="14:25" ht="15" customHeight="1" x14ac:dyDescent="0.25"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</row>
    <row r="1165" spans="14:25" ht="15" customHeight="1" x14ac:dyDescent="0.25"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</row>
    <row r="1166" spans="14:25" ht="15" customHeight="1" x14ac:dyDescent="0.25"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</row>
    <row r="1167" spans="14:25" ht="15" customHeight="1" x14ac:dyDescent="0.25"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</row>
    <row r="1168" spans="14:25" ht="15" customHeight="1" x14ac:dyDescent="0.25"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</row>
    <row r="1169" spans="14:25" ht="15" customHeight="1" x14ac:dyDescent="0.25"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</row>
    <row r="1170" spans="14:25" ht="15" customHeight="1" x14ac:dyDescent="0.25"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</row>
    <row r="1171" spans="14:25" ht="15" customHeight="1" x14ac:dyDescent="0.25"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</row>
    <row r="1172" spans="14:25" ht="15" customHeight="1" x14ac:dyDescent="0.25"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</row>
    <row r="1173" spans="14:25" ht="15" customHeight="1" x14ac:dyDescent="0.25"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</row>
    <row r="1174" spans="14:25" ht="15" customHeight="1" x14ac:dyDescent="0.25"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</row>
    <row r="1175" spans="14:25" ht="15" customHeight="1" x14ac:dyDescent="0.25"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</row>
    <row r="1176" spans="14:25" ht="15" customHeight="1" x14ac:dyDescent="0.25"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</row>
    <row r="1177" spans="14:25" ht="15" customHeight="1" x14ac:dyDescent="0.25"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</row>
    <row r="1178" spans="14:25" ht="15" customHeight="1" x14ac:dyDescent="0.25"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</row>
    <row r="1179" spans="14:25" ht="15" customHeight="1" x14ac:dyDescent="0.25"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</row>
    <row r="1180" spans="14:25" ht="15" customHeight="1" x14ac:dyDescent="0.25"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</row>
    <row r="1181" spans="14:25" ht="15" customHeight="1" x14ac:dyDescent="0.25"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</row>
    <row r="1182" spans="14:25" ht="15" customHeight="1" x14ac:dyDescent="0.25"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</row>
    <row r="1183" spans="14:25" ht="15" customHeight="1" x14ac:dyDescent="0.25"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</row>
    <row r="1184" spans="14:25" ht="15" customHeight="1" x14ac:dyDescent="0.25"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</row>
    <row r="1185" spans="14:25" ht="15" customHeight="1" x14ac:dyDescent="0.25"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</row>
    <row r="1186" spans="14:25" ht="15" customHeight="1" x14ac:dyDescent="0.25"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</row>
    <row r="1187" spans="14:25" ht="15" customHeight="1" x14ac:dyDescent="0.25"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</row>
    <row r="1188" spans="14:25" ht="15" customHeight="1" x14ac:dyDescent="0.25"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</row>
    <row r="1189" spans="14:25" ht="15" customHeight="1" x14ac:dyDescent="0.25"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</row>
    <row r="1190" spans="14:25" ht="15" customHeight="1" x14ac:dyDescent="0.25"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</row>
    <row r="1191" spans="14:25" ht="15" customHeight="1" x14ac:dyDescent="0.25"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</row>
    <row r="1192" spans="14:25" ht="15" customHeight="1" x14ac:dyDescent="0.25"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</row>
    <row r="1193" spans="14:25" ht="15" customHeight="1" x14ac:dyDescent="0.25"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</row>
    <row r="1194" spans="14:25" ht="15" customHeight="1" x14ac:dyDescent="0.25"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</row>
    <row r="1195" spans="14:25" ht="15" customHeight="1" x14ac:dyDescent="0.25"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</row>
    <row r="1196" spans="14:25" ht="15" customHeight="1" x14ac:dyDescent="0.25"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</row>
    <row r="1197" spans="14:25" ht="15" customHeight="1" x14ac:dyDescent="0.25"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</row>
    <row r="1198" spans="14:25" ht="15" customHeight="1" x14ac:dyDescent="0.25"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</row>
    <row r="1199" spans="14:25" ht="15" customHeight="1" x14ac:dyDescent="0.25"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</row>
    <row r="1200" spans="14:25" ht="15" customHeight="1" x14ac:dyDescent="0.25"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</row>
    <row r="1201" spans="14:25" ht="15" customHeight="1" x14ac:dyDescent="0.25"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</row>
    <row r="1202" spans="14:25" ht="15" customHeight="1" x14ac:dyDescent="0.25"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</row>
    <row r="1203" spans="14:25" ht="15" customHeight="1" x14ac:dyDescent="0.25"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</row>
    <row r="1204" spans="14:25" ht="15" customHeight="1" x14ac:dyDescent="0.25"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</row>
    <row r="1205" spans="14:25" ht="15" customHeight="1" x14ac:dyDescent="0.25"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</row>
    <row r="1206" spans="14:25" ht="15" customHeight="1" x14ac:dyDescent="0.25"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</row>
    <row r="1207" spans="14:25" ht="15" customHeight="1" x14ac:dyDescent="0.25"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</row>
    <row r="1208" spans="14:25" ht="15" customHeight="1" x14ac:dyDescent="0.25"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</row>
    <row r="1209" spans="14:25" ht="15" customHeight="1" x14ac:dyDescent="0.25"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</row>
    <row r="1210" spans="14:25" ht="15" customHeight="1" x14ac:dyDescent="0.25"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</row>
    <row r="1211" spans="14:25" ht="15" customHeight="1" x14ac:dyDescent="0.25"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</row>
    <row r="1212" spans="14:25" ht="15" customHeight="1" x14ac:dyDescent="0.25"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</row>
    <row r="1213" spans="14:25" ht="15" customHeight="1" x14ac:dyDescent="0.25"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</row>
    <row r="1214" spans="14:25" ht="15" customHeight="1" x14ac:dyDescent="0.25"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</row>
    <row r="1215" spans="14:25" ht="15" customHeight="1" x14ac:dyDescent="0.25"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</row>
    <row r="1216" spans="14:25" ht="15" customHeight="1" x14ac:dyDescent="0.25"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</row>
    <row r="1217" spans="14:25" ht="15" customHeight="1" x14ac:dyDescent="0.25"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</row>
    <row r="1218" spans="14:25" ht="15" customHeight="1" x14ac:dyDescent="0.25"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</row>
    <row r="1219" spans="14:25" ht="15" customHeight="1" x14ac:dyDescent="0.25"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</row>
    <row r="1220" spans="14:25" ht="15" customHeight="1" x14ac:dyDescent="0.25"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</row>
    <row r="1221" spans="14:25" ht="15" customHeight="1" x14ac:dyDescent="0.25"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</row>
    <row r="1222" spans="14:25" ht="15" customHeight="1" x14ac:dyDescent="0.25"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</row>
    <row r="1223" spans="14:25" ht="15" customHeight="1" x14ac:dyDescent="0.25"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</row>
    <row r="1224" spans="14:25" ht="15" customHeight="1" x14ac:dyDescent="0.25"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</row>
    <row r="1225" spans="14:25" ht="15" customHeight="1" x14ac:dyDescent="0.25"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</row>
    <row r="1226" spans="14:25" ht="15" customHeight="1" x14ac:dyDescent="0.25"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</row>
    <row r="1227" spans="14:25" ht="15" customHeight="1" x14ac:dyDescent="0.25"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</row>
    <row r="1228" spans="14:25" ht="15" customHeight="1" x14ac:dyDescent="0.25"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</row>
    <row r="1229" spans="14:25" ht="15" customHeight="1" x14ac:dyDescent="0.25"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</row>
    <row r="1230" spans="14:25" ht="15" customHeight="1" x14ac:dyDescent="0.25"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</row>
    <row r="1231" spans="14:25" ht="15" customHeight="1" x14ac:dyDescent="0.25"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</row>
    <row r="1232" spans="14:25" ht="15" customHeight="1" x14ac:dyDescent="0.25"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</row>
    <row r="1233" spans="14:25" ht="15" customHeight="1" x14ac:dyDescent="0.25"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</row>
    <row r="1234" spans="14:25" ht="15" customHeight="1" x14ac:dyDescent="0.25"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</row>
    <row r="1235" spans="14:25" ht="15" customHeight="1" x14ac:dyDescent="0.25"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</row>
    <row r="1236" spans="14:25" ht="15" customHeight="1" x14ac:dyDescent="0.25"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</row>
    <row r="1237" spans="14:25" ht="15" customHeight="1" x14ac:dyDescent="0.25"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</row>
    <row r="1238" spans="14:25" ht="15" customHeight="1" x14ac:dyDescent="0.25"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</row>
    <row r="1239" spans="14:25" ht="15" customHeight="1" x14ac:dyDescent="0.25"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</row>
    <row r="1240" spans="14:25" ht="15" customHeight="1" x14ac:dyDescent="0.25"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</row>
    <row r="1241" spans="14:25" ht="15" customHeight="1" x14ac:dyDescent="0.25"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</row>
    <row r="1242" spans="14:25" ht="15" customHeight="1" x14ac:dyDescent="0.25"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</row>
    <row r="1243" spans="14:25" ht="15" customHeight="1" x14ac:dyDescent="0.25"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</row>
    <row r="1244" spans="14:25" ht="15" customHeight="1" x14ac:dyDescent="0.25"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</row>
    <row r="1245" spans="14:25" ht="15" customHeight="1" x14ac:dyDescent="0.25"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</row>
    <row r="1246" spans="14:25" ht="15" customHeight="1" x14ac:dyDescent="0.25"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</row>
    <row r="1247" spans="14:25" ht="15" customHeight="1" x14ac:dyDescent="0.25"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</row>
    <row r="1248" spans="14:25" ht="15" customHeight="1" x14ac:dyDescent="0.25"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</row>
    <row r="1249" spans="14:25" ht="15" customHeight="1" x14ac:dyDescent="0.25"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</row>
    <row r="1250" spans="14:25" ht="15" customHeight="1" x14ac:dyDescent="0.25"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</row>
    <row r="1251" spans="14:25" ht="15" customHeight="1" x14ac:dyDescent="0.25"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</row>
    <row r="1252" spans="14:25" ht="15" customHeight="1" x14ac:dyDescent="0.25"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</row>
    <row r="1253" spans="14:25" ht="15" customHeight="1" x14ac:dyDescent="0.25"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</row>
    <row r="1254" spans="14:25" ht="15" customHeight="1" x14ac:dyDescent="0.25"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</row>
    <row r="1255" spans="14:25" ht="15" customHeight="1" x14ac:dyDescent="0.25"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</row>
    <row r="1256" spans="14:25" ht="15" customHeight="1" x14ac:dyDescent="0.25"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</row>
    <row r="1257" spans="14:25" ht="15" customHeight="1" x14ac:dyDescent="0.25"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</row>
    <row r="1258" spans="14:25" ht="15" customHeight="1" x14ac:dyDescent="0.25"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</row>
    <row r="1259" spans="14:25" ht="15" customHeight="1" x14ac:dyDescent="0.25"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</row>
    <row r="1260" spans="14:25" ht="15" customHeight="1" x14ac:dyDescent="0.25"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</row>
    <row r="1261" spans="14:25" ht="15" customHeight="1" x14ac:dyDescent="0.25"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</row>
    <row r="1262" spans="14:25" ht="15" customHeight="1" x14ac:dyDescent="0.25"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</row>
    <row r="1263" spans="14:25" ht="15" customHeight="1" x14ac:dyDescent="0.25"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</row>
    <row r="1264" spans="14:25" ht="15" customHeight="1" x14ac:dyDescent="0.25"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</row>
    <row r="1265" spans="14:25" ht="15" customHeight="1" x14ac:dyDescent="0.25"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</row>
    <row r="1266" spans="14:25" ht="15" customHeight="1" x14ac:dyDescent="0.25"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</row>
    <row r="1267" spans="14:25" ht="15" customHeight="1" x14ac:dyDescent="0.25"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</row>
    <row r="1268" spans="14:25" ht="15" customHeight="1" x14ac:dyDescent="0.25"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</row>
    <row r="1269" spans="14:25" ht="15" customHeight="1" x14ac:dyDescent="0.25"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</row>
    <row r="1270" spans="14:25" ht="15" customHeight="1" x14ac:dyDescent="0.25"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</row>
    <row r="1271" spans="14:25" ht="15" customHeight="1" x14ac:dyDescent="0.25"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</row>
    <row r="1272" spans="14:25" ht="15" customHeight="1" x14ac:dyDescent="0.25"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</row>
    <row r="1273" spans="14:25" ht="15" customHeight="1" x14ac:dyDescent="0.25"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</row>
    <row r="1274" spans="14:25" ht="15" customHeight="1" x14ac:dyDescent="0.25"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</row>
    <row r="1275" spans="14:25" ht="15" customHeight="1" x14ac:dyDescent="0.25"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</row>
    <row r="1276" spans="14:25" ht="15" customHeight="1" x14ac:dyDescent="0.25"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</row>
    <row r="1277" spans="14:25" ht="15" customHeight="1" x14ac:dyDescent="0.25"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</row>
    <row r="1278" spans="14:25" ht="15" customHeight="1" x14ac:dyDescent="0.25"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</row>
    <row r="1279" spans="14:25" ht="15" customHeight="1" x14ac:dyDescent="0.25"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</row>
    <row r="1280" spans="14:25" ht="15" customHeight="1" x14ac:dyDescent="0.25"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</row>
    <row r="1281" spans="14:25" ht="15" customHeight="1" x14ac:dyDescent="0.25"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</row>
    <row r="1282" spans="14:25" ht="15" customHeight="1" x14ac:dyDescent="0.25"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</row>
    <row r="1283" spans="14:25" ht="15" customHeight="1" x14ac:dyDescent="0.25"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</row>
    <row r="1284" spans="14:25" ht="15" customHeight="1" x14ac:dyDescent="0.25"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</row>
    <row r="1285" spans="14:25" ht="15" customHeight="1" x14ac:dyDescent="0.25"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</row>
    <row r="1286" spans="14:25" ht="15" customHeight="1" x14ac:dyDescent="0.25"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</row>
    <row r="1287" spans="14:25" ht="15" customHeight="1" x14ac:dyDescent="0.25"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</row>
    <row r="1288" spans="14:25" ht="15" customHeight="1" x14ac:dyDescent="0.25"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</row>
    <row r="1289" spans="14:25" ht="15" customHeight="1" x14ac:dyDescent="0.25"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</row>
    <row r="1290" spans="14:25" ht="15" customHeight="1" x14ac:dyDescent="0.25"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</row>
    <row r="1291" spans="14:25" ht="15" customHeight="1" x14ac:dyDescent="0.25"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</row>
    <row r="1292" spans="14:25" ht="15" customHeight="1" x14ac:dyDescent="0.25"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</row>
    <row r="1293" spans="14:25" ht="15" customHeight="1" x14ac:dyDescent="0.25"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</row>
    <row r="1294" spans="14:25" ht="15" customHeight="1" x14ac:dyDescent="0.25"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</row>
    <row r="1295" spans="14:25" ht="15" customHeight="1" x14ac:dyDescent="0.25"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</row>
    <row r="1296" spans="14:25" ht="15" customHeight="1" x14ac:dyDescent="0.25"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</row>
    <row r="1297" spans="14:25" ht="15" customHeight="1" x14ac:dyDescent="0.25"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</row>
    <row r="1298" spans="14:25" ht="15" customHeight="1" x14ac:dyDescent="0.25"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pans="14:25" ht="15" customHeight="1" x14ac:dyDescent="0.25"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</row>
    <row r="1300" spans="14:25" ht="15" customHeight="1" x14ac:dyDescent="0.25"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</row>
    <row r="1301" spans="14:25" ht="15" customHeight="1" x14ac:dyDescent="0.25"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</row>
    <row r="1302" spans="14:25" ht="15" customHeight="1" x14ac:dyDescent="0.25"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</row>
    <row r="1303" spans="14:25" ht="15" customHeight="1" x14ac:dyDescent="0.25"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</row>
    <row r="1304" spans="14:25" ht="15" customHeight="1" x14ac:dyDescent="0.25"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</row>
    <row r="1305" spans="14:25" ht="15" customHeight="1" x14ac:dyDescent="0.25"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</row>
    <row r="1306" spans="14:25" ht="15" customHeight="1" x14ac:dyDescent="0.25"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</row>
    <row r="1307" spans="14:25" ht="15" customHeight="1" x14ac:dyDescent="0.25"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</row>
    <row r="1308" spans="14:25" ht="15" customHeight="1" x14ac:dyDescent="0.25"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</row>
    <row r="1309" spans="14:25" ht="15" customHeight="1" x14ac:dyDescent="0.25"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</row>
    <row r="1310" spans="14:25" ht="15" customHeight="1" x14ac:dyDescent="0.25"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</row>
    <row r="1311" spans="14:25" ht="15" customHeight="1" x14ac:dyDescent="0.25"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</row>
    <row r="1312" spans="14:25" ht="15" customHeight="1" x14ac:dyDescent="0.25"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</row>
    <row r="1313" spans="14:25" ht="15" customHeight="1" x14ac:dyDescent="0.25"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</row>
    <row r="1314" spans="14:25" ht="15" customHeight="1" x14ac:dyDescent="0.25"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</row>
    <row r="1315" spans="14:25" ht="15" customHeight="1" x14ac:dyDescent="0.25"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</row>
    <row r="1316" spans="14:25" ht="15" customHeight="1" x14ac:dyDescent="0.25"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</row>
    <row r="1317" spans="14:25" ht="15" customHeight="1" x14ac:dyDescent="0.25"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</row>
    <row r="1318" spans="14:25" ht="15" customHeight="1" x14ac:dyDescent="0.25"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</row>
    <row r="1319" spans="14:25" ht="15" customHeight="1" x14ac:dyDescent="0.25"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</row>
    <row r="1320" spans="14:25" ht="15" customHeight="1" x14ac:dyDescent="0.25"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</row>
    <row r="1321" spans="14:25" ht="15" customHeight="1" x14ac:dyDescent="0.25"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</row>
    <row r="1322" spans="14:25" ht="15" customHeight="1" x14ac:dyDescent="0.25"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</row>
    <row r="1323" spans="14:25" ht="15" customHeight="1" x14ac:dyDescent="0.25"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</row>
    <row r="1324" spans="14:25" ht="15" customHeight="1" x14ac:dyDescent="0.25"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</row>
    <row r="1325" spans="14:25" ht="15" customHeight="1" x14ac:dyDescent="0.25"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</row>
    <row r="1326" spans="14:25" ht="15" customHeight="1" x14ac:dyDescent="0.25"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</row>
    <row r="1327" spans="14:25" ht="15" customHeight="1" x14ac:dyDescent="0.25"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</row>
    <row r="1328" spans="14:25" ht="15" customHeight="1" x14ac:dyDescent="0.25"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</row>
    <row r="1329" spans="14:25" ht="15" customHeight="1" x14ac:dyDescent="0.25"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</row>
    <row r="1330" spans="14:25" ht="15" customHeight="1" x14ac:dyDescent="0.25"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</row>
    <row r="1331" spans="14:25" ht="15" customHeight="1" x14ac:dyDescent="0.25"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</row>
    <row r="1332" spans="14:25" ht="15" customHeight="1" x14ac:dyDescent="0.25"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</row>
    <row r="1333" spans="14:25" ht="15" customHeight="1" x14ac:dyDescent="0.25"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</row>
    <row r="1334" spans="14:25" ht="15" customHeight="1" x14ac:dyDescent="0.25"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</row>
    <row r="1335" spans="14:25" ht="15" customHeight="1" x14ac:dyDescent="0.25"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</row>
    <row r="1336" spans="14:25" ht="15" customHeight="1" x14ac:dyDescent="0.25"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</row>
    <row r="1337" spans="14:25" ht="15" customHeight="1" x14ac:dyDescent="0.25"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</row>
    <row r="1338" spans="14:25" ht="15" customHeight="1" x14ac:dyDescent="0.25"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</row>
    <row r="1339" spans="14:25" ht="15" customHeight="1" x14ac:dyDescent="0.25"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</row>
    <row r="1340" spans="14:25" ht="15" customHeight="1" x14ac:dyDescent="0.25"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</row>
    <row r="1341" spans="14:25" ht="15" customHeight="1" x14ac:dyDescent="0.25"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</row>
    <row r="1342" spans="14:25" ht="15" customHeight="1" x14ac:dyDescent="0.25"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</row>
    <row r="1343" spans="14:25" ht="15" customHeight="1" x14ac:dyDescent="0.25"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</row>
    <row r="1344" spans="14:25" ht="15" customHeight="1" x14ac:dyDescent="0.25"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</row>
    <row r="1345" spans="14:25" ht="15" customHeight="1" x14ac:dyDescent="0.25"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</row>
    <row r="1346" spans="14:25" ht="15" customHeight="1" x14ac:dyDescent="0.25"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</row>
    <row r="1347" spans="14:25" ht="15" customHeight="1" x14ac:dyDescent="0.25"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</row>
    <row r="1348" spans="14:25" ht="15" customHeight="1" x14ac:dyDescent="0.25"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</row>
    <row r="1349" spans="14:25" ht="15" customHeight="1" x14ac:dyDescent="0.25"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</row>
    <row r="1350" spans="14:25" ht="15" customHeight="1" x14ac:dyDescent="0.25"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</row>
    <row r="1351" spans="14:25" ht="15" customHeight="1" x14ac:dyDescent="0.25"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</row>
    <row r="1352" spans="14:25" ht="15" customHeight="1" x14ac:dyDescent="0.25"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</row>
    <row r="1353" spans="14:25" ht="15" customHeight="1" x14ac:dyDescent="0.25"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</row>
    <row r="1354" spans="14:25" ht="15" customHeight="1" x14ac:dyDescent="0.25"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</row>
    <row r="1355" spans="14:25" ht="15" customHeight="1" x14ac:dyDescent="0.25"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</row>
    <row r="1356" spans="14:25" ht="15" customHeight="1" x14ac:dyDescent="0.25"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</row>
    <row r="1357" spans="14:25" ht="15" customHeight="1" x14ac:dyDescent="0.25"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</row>
    <row r="1358" spans="14:25" ht="15" customHeight="1" x14ac:dyDescent="0.25"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</row>
    <row r="1359" spans="14:25" ht="15" customHeight="1" x14ac:dyDescent="0.25"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</row>
    <row r="1360" spans="14:25" ht="15" customHeight="1" x14ac:dyDescent="0.25"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</row>
    <row r="1361" spans="14:25" ht="15" customHeight="1" x14ac:dyDescent="0.25"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</row>
    <row r="1362" spans="14:25" ht="15" customHeight="1" x14ac:dyDescent="0.25"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</row>
    <row r="1363" spans="14:25" ht="15" customHeight="1" x14ac:dyDescent="0.25"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</row>
    <row r="1364" spans="14:25" ht="15" customHeight="1" x14ac:dyDescent="0.25"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</row>
    <row r="1365" spans="14:25" ht="15" customHeight="1" x14ac:dyDescent="0.25"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</row>
    <row r="1366" spans="14:25" ht="15" customHeight="1" x14ac:dyDescent="0.25"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</row>
    <row r="1367" spans="14:25" ht="15" customHeight="1" x14ac:dyDescent="0.25"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</row>
    <row r="1368" spans="14:25" ht="15" customHeight="1" x14ac:dyDescent="0.25"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</row>
    <row r="1369" spans="14:25" ht="15" customHeight="1" x14ac:dyDescent="0.25"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</row>
    <row r="1370" spans="14:25" ht="15" customHeight="1" x14ac:dyDescent="0.25"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</row>
    <row r="1371" spans="14:25" ht="15" customHeight="1" x14ac:dyDescent="0.25"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</row>
    <row r="1372" spans="14:25" ht="15" customHeight="1" x14ac:dyDescent="0.25"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</row>
    <row r="1373" spans="14:25" ht="15" customHeight="1" x14ac:dyDescent="0.25"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</row>
    <row r="1374" spans="14:25" ht="15" customHeight="1" x14ac:dyDescent="0.25"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</row>
    <row r="1375" spans="14:25" ht="15" customHeight="1" x14ac:dyDescent="0.25"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</row>
    <row r="1376" spans="14:25" ht="15" customHeight="1" x14ac:dyDescent="0.25"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</row>
    <row r="1377" spans="14:25" ht="15" customHeight="1" x14ac:dyDescent="0.25"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</row>
    <row r="1378" spans="14:25" ht="15" customHeight="1" x14ac:dyDescent="0.25"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</row>
    <row r="1379" spans="14:25" ht="15" customHeight="1" x14ac:dyDescent="0.25"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</row>
    <row r="1380" spans="14:25" ht="15" customHeight="1" x14ac:dyDescent="0.25"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</row>
    <row r="1381" spans="14:25" ht="15" customHeight="1" x14ac:dyDescent="0.25"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</row>
    <row r="1382" spans="14:25" ht="15" customHeight="1" x14ac:dyDescent="0.25"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</row>
    <row r="1383" spans="14:25" ht="15" customHeight="1" x14ac:dyDescent="0.25"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</row>
    <row r="1384" spans="14:25" ht="15" customHeight="1" x14ac:dyDescent="0.25"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</row>
    <row r="1385" spans="14:25" ht="15" customHeight="1" x14ac:dyDescent="0.25"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</row>
    <row r="1386" spans="14:25" ht="15" customHeight="1" x14ac:dyDescent="0.25"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</row>
    <row r="1387" spans="14:25" ht="15" customHeight="1" x14ac:dyDescent="0.25"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</row>
    <row r="1388" spans="14:25" ht="15" customHeight="1" x14ac:dyDescent="0.25"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</row>
    <row r="1389" spans="14:25" ht="15" customHeight="1" x14ac:dyDescent="0.25"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</row>
    <row r="1390" spans="14:25" ht="15" customHeight="1" x14ac:dyDescent="0.25"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</row>
    <row r="1391" spans="14:25" ht="15" customHeight="1" x14ac:dyDescent="0.25"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</row>
    <row r="1392" spans="14:25" ht="15" customHeight="1" x14ac:dyDescent="0.25"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</row>
    <row r="1393" spans="14:25" ht="15" customHeight="1" x14ac:dyDescent="0.25"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</row>
    <row r="1394" spans="14:25" ht="15" customHeight="1" x14ac:dyDescent="0.25"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</row>
    <row r="1395" spans="14:25" ht="15" customHeight="1" x14ac:dyDescent="0.25"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</row>
    <row r="1396" spans="14:25" ht="15" customHeight="1" x14ac:dyDescent="0.25"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</row>
    <row r="1397" spans="14:25" ht="15" customHeight="1" x14ac:dyDescent="0.25"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</row>
    <row r="1398" spans="14:25" ht="15" customHeight="1" x14ac:dyDescent="0.25"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</row>
    <row r="1399" spans="14:25" ht="15" customHeight="1" x14ac:dyDescent="0.25"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</row>
    <row r="1400" spans="14:25" ht="15" customHeight="1" x14ac:dyDescent="0.25"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</row>
    <row r="1401" spans="14:25" ht="15" customHeight="1" x14ac:dyDescent="0.25"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</row>
    <row r="1402" spans="14:25" ht="15" customHeight="1" x14ac:dyDescent="0.25"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</row>
    <row r="1403" spans="14:25" ht="15" customHeight="1" x14ac:dyDescent="0.25"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</row>
    <row r="1404" spans="14:25" ht="15" customHeight="1" x14ac:dyDescent="0.25"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</row>
    <row r="1405" spans="14:25" ht="15" customHeight="1" x14ac:dyDescent="0.25"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</row>
    <row r="1406" spans="14:25" ht="15" customHeight="1" x14ac:dyDescent="0.25"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</row>
    <row r="1407" spans="14:25" ht="15" customHeight="1" x14ac:dyDescent="0.25"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</row>
    <row r="1408" spans="14:25" ht="15" customHeight="1" x14ac:dyDescent="0.25"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</row>
    <row r="1409" spans="14:25" ht="15" customHeight="1" x14ac:dyDescent="0.25"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</row>
    <row r="1410" spans="14:25" ht="15" customHeight="1" x14ac:dyDescent="0.25"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</row>
    <row r="1411" spans="14:25" ht="15" customHeight="1" x14ac:dyDescent="0.25"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</row>
    <row r="1412" spans="14:25" ht="15" customHeight="1" x14ac:dyDescent="0.25"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</row>
    <row r="1413" spans="14:25" ht="15" customHeight="1" x14ac:dyDescent="0.25"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</row>
    <row r="1414" spans="14:25" ht="15" customHeight="1" x14ac:dyDescent="0.25"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</row>
    <row r="1415" spans="14:25" ht="15" customHeight="1" x14ac:dyDescent="0.25"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</row>
    <row r="1416" spans="14:25" ht="15" customHeight="1" x14ac:dyDescent="0.25"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</row>
    <row r="1417" spans="14:25" ht="15" customHeight="1" x14ac:dyDescent="0.25"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</row>
    <row r="1418" spans="14:25" ht="15" customHeight="1" x14ac:dyDescent="0.25"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</row>
    <row r="1419" spans="14:25" ht="15" customHeight="1" x14ac:dyDescent="0.25"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</row>
    <row r="1420" spans="14:25" ht="15" customHeight="1" x14ac:dyDescent="0.25"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</row>
    <row r="1421" spans="14:25" ht="15" customHeight="1" x14ac:dyDescent="0.25"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</row>
    <row r="1422" spans="14:25" ht="15" customHeight="1" x14ac:dyDescent="0.25"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</row>
    <row r="1423" spans="14:25" ht="15" customHeight="1" x14ac:dyDescent="0.25"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</row>
    <row r="1424" spans="14:25" ht="15" customHeight="1" x14ac:dyDescent="0.25"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</row>
    <row r="1425" spans="14:25" ht="15" customHeight="1" x14ac:dyDescent="0.25"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</row>
    <row r="1426" spans="14:25" ht="15" customHeight="1" x14ac:dyDescent="0.25"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</row>
    <row r="1427" spans="14:25" ht="15" customHeight="1" x14ac:dyDescent="0.25"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</row>
    <row r="1428" spans="14:25" ht="15" customHeight="1" x14ac:dyDescent="0.25"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</row>
    <row r="1429" spans="14:25" ht="15" customHeight="1" x14ac:dyDescent="0.25"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</row>
    <row r="1430" spans="14:25" ht="15" customHeight="1" x14ac:dyDescent="0.25"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</row>
    <row r="1431" spans="14:25" ht="15" customHeight="1" x14ac:dyDescent="0.25"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</row>
    <row r="1432" spans="14:25" ht="15" customHeight="1" x14ac:dyDescent="0.25"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</row>
    <row r="1433" spans="14:25" ht="15" customHeight="1" x14ac:dyDescent="0.25"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</row>
    <row r="1434" spans="14:25" ht="15" customHeight="1" x14ac:dyDescent="0.25"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</row>
    <row r="1435" spans="14:25" ht="15" customHeight="1" x14ac:dyDescent="0.25"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pans="14:25" ht="15" customHeight="1" x14ac:dyDescent="0.25"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pans="14:25" ht="15" customHeight="1" x14ac:dyDescent="0.25"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</row>
    <row r="1438" spans="14:25" ht="15" customHeight="1" x14ac:dyDescent="0.25"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</row>
    <row r="1439" spans="14:25" ht="15" customHeight="1" x14ac:dyDescent="0.25"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</row>
    <row r="1440" spans="14:25" ht="15" customHeight="1" x14ac:dyDescent="0.25"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</row>
    <row r="1441" spans="14:25" ht="15" customHeight="1" x14ac:dyDescent="0.25"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</row>
    <row r="1442" spans="14:25" ht="15" customHeight="1" x14ac:dyDescent="0.25"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</row>
    <row r="1443" spans="14:25" ht="15" customHeight="1" x14ac:dyDescent="0.25"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</row>
    <row r="1444" spans="14:25" ht="15" customHeight="1" x14ac:dyDescent="0.25"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</row>
    <row r="1445" spans="14:25" ht="15" customHeight="1" x14ac:dyDescent="0.25"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</row>
    <row r="1446" spans="14:25" ht="15" customHeight="1" x14ac:dyDescent="0.25"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</row>
    <row r="1447" spans="14:25" ht="15" customHeight="1" x14ac:dyDescent="0.25"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</row>
    <row r="1448" spans="14:25" ht="15" customHeight="1" x14ac:dyDescent="0.25"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</row>
    <row r="1449" spans="14:25" ht="15" customHeight="1" x14ac:dyDescent="0.25"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</row>
    <row r="1450" spans="14:25" ht="15" customHeight="1" x14ac:dyDescent="0.25"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</row>
    <row r="1451" spans="14:25" ht="15" customHeight="1" x14ac:dyDescent="0.25"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</row>
    <row r="1452" spans="14:25" ht="15" customHeight="1" x14ac:dyDescent="0.25"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</row>
    <row r="1453" spans="14:25" ht="15" customHeight="1" x14ac:dyDescent="0.25"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</row>
    <row r="1454" spans="14:25" ht="15" customHeight="1" x14ac:dyDescent="0.25"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</row>
    <row r="1455" spans="14:25" ht="15" customHeight="1" x14ac:dyDescent="0.25"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</row>
    <row r="1456" spans="14:25" ht="15" customHeight="1" x14ac:dyDescent="0.25"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</row>
    <row r="1457" spans="14:25" ht="15" customHeight="1" x14ac:dyDescent="0.25"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</row>
    <row r="1458" spans="14:25" ht="15" customHeight="1" x14ac:dyDescent="0.25"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</row>
    <row r="1459" spans="14:25" ht="15" customHeight="1" x14ac:dyDescent="0.25"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</row>
    <row r="1460" spans="14:25" ht="15" customHeight="1" x14ac:dyDescent="0.25"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</row>
    <row r="1461" spans="14:25" ht="15" customHeight="1" x14ac:dyDescent="0.25"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</row>
    <row r="1462" spans="14:25" ht="15" customHeight="1" x14ac:dyDescent="0.25"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</row>
    <row r="1463" spans="14:25" ht="15" customHeight="1" x14ac:dyDescent="0.25"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</row>
    <row r="1464" spans="14:25" ht="15" customHeight="1" x14ac:dyDescent="0.25"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</row>
    <row r="1465" spans="14:25" ht="15" customHeight="1" x14ac:dyDescent="0.25"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</row>
    <row r="1466" spans="14:25" ht="15" customHeight="1" x14ac:dyDescent="0.25"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</row>
    <row r="1467" spans="14:25" ht="15" customHeight="1" x14ac:dyDescent="0.25"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</row>
    <row r="1468" spans="14:25" ht="15" customHeight="1" x14ac:dyDescent="0.25"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</row>
    <row r="1469" spans="14:25" ht="15" customHeight="1" x14ac:dyDescent="0.25"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</row>
    <row r="1470" spans="14:25" ht="15" customHeight="1" x14ac:dyDescent="0.25"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</row>
    <row r="1471" spans="14:25" ht="15" customHeight="1" x14ac:dyDescent="0.25"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</row>
    <row r="1472" spans="14:25" ht="15" customHeight="1" x14ac:dyDescent="0.25"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</row>
    <row r="1473" spans="14:25" ht="15" customHeight="1" x14ac:dyDescent="0.25"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</row>
    <row r="1474" spans="14:25" ht="15" customHeight="1" x14ac:dyDescent="0.25"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</row>
    <row r="1475" spans="14:25" ht="15" customHeight="1" x14ac:dyDescent="0.25"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</row>
    <row r="1476" spans="14:25" ht="15" customHeight="1" x14ac:dyDescent="0.25"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</row>
    <row r="1477" spans="14:25" ht="15" customHeight="1" x14ac:dyDescent="0.25"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</row>
    <row r="1478" spans="14:25" ht="15" customHeight="1" x14ac:dyDescent="0.25"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</row>
    <row r="1479" spans="14:25" ht="15" customHeight="1" x14ac:dyDescent="0.25"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</row>
    <row r="1480" spans="14:25" ht="15" customHeight="1" x14ac:dyDescent="0.25"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</row>
    <row r="1481" spans="14:25" ht="15" customHeight="1" x14ac:dyDescent="0.25"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</row>
    <row r="1482" spans="14:25" ht="15" customHeight="1" x14ac:dyDescent="0.25"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</row>
    <row r="1483" spans="14:25" ht="15" customHeight="1" x14ac:dyDescent="0.25"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</row>
    <row r="1484" spans="14:25" ht="15" customHeight="1" x14ac:dyDescent="0.25"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</row>
    <row r="1485" spans="14:25" ht="15" customHeight="1" x14ac:dyDescent="0.25"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</row>
    <row r="1486" spans="14:25" ht="15" customHeight="1" x14ac:dyDescent="0.25"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</row>
    <row r="1487" spans="14:25" ht="15" customHeight="1" x14ac:dyDescent="0.25"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</row>
    <row r="1488" spans="14:25" ht="15" customHeight="1" x14ac:dyDescent="0.25"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</row>
    <row r="1489" spans="14:25" ht="15" customHeight="1" x14ac:dyDescent="0.25"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</row>
    <row r="1490" spans="14:25" ht="15" customHeight="1" x14ac:dyDescent="0.25"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</row>
    <row r="1491" spans="14:25" ht="15" customHeight="1" x14ac:dyDescent="0.25"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</row>
    <row r="1492" spans="14:25" ht="15" customHeight="1" x14ac:dyDescent="0.25"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</row>
    <row r="1493" spans="14:25" ht="15" customHeight="1" x14ac:dyDescent="0.25"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</row>
    <row r="1494" spans="14:25" ht="15" customHeight="1" x14ac:dyDescent="0.25"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</row>
    <row r="1495" spans="14:25" ht="15" customHeight="1" x14ac:dyDescent="0.25"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</row>
    <row r="1496" spans="14:25" ht="15" customHeight="1" x14ac:dyDescent="0.25"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</row>
    <row r="1497" spans="14:25" ht="15" customHeight="1" x14ac:dyDescent="0.25"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</row>
    <row r="1498" spans="14:25" ht="15" customHeight="1" x14ac:dyDescent="0.25"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</row>
    <row r="1499" spans="14:25" ht="15" customHeight="1" x14ac:dyDescent="0.25"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</row>
    <row r="1500" spans="14:25" ht="15" customHeight="1" x14ac:dyDescent="0.25"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</row>
    <row r="1501" spans="14:25" ht="15" customHeight="1" x14ac:dyDescent="0.25"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</row>
    <row r="1502" spans="14:25" ht="15" customHeight="1" x14ac:dyDescent="0.25"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</row>
    <row r="1503" spans="14:25" ht="15" customHeight="1" x14ac:dyDescent="0.25"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</row>
    <row r="1504" spans="14:25" ht="15" customHeight="1" x14ac:dyDescent="0.25"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</row>
    <row r="1505" spans="14:25" ht="15" customHeight="1" x14ac:dyDescent="0.25"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</row>
    <row r="1506" spans="14:25" ht="15" customHeight="1" x14ac:dyDescent="0.25"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</row>
    <row r="1507" spans="14:25" ht="15" customHeight="1" x14ac:dyDescent="0.25"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</row>
    <row r="1508" spans="14:25" ht="15" customHeight="1" x14ac:dyDescent="0.25"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</row>
    <row r="1509" spans="14:25" ht="15" customHeight="1" x14ac:dyDescent="0.25"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</row>
    <row r="1510" spans="14:25" ht="15" customHeight="1" x14ac:dyDescent="0.25"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</row>
    <row r="1511" spans="14:25" ht="15" customHeight="1" x14ac:dyDescent="0.25"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</row>
    <row r="1512" spans="14:25" ht="15" customHeight="1" x14ac:dyDescent="0.25"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</row>
    <row r="1513" spans="14:25" ht="15" customHeight="1" x14ac:dyDescent="0.25"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</row>
    <row r="1514" spans="14:25" ht="15" customHeight="1" x14ac:dyDescent="0.25"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</row>
    <row r="1515" spans="14:25" ht="15" customHeight="1" x14ac:dyDescent="0.25"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</row>
    <row r="1516" spans="14:25" ht="15" customHeight="1" x14ac:dyDescent="0.25"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</row>
    <row r="1517" spans="14:25" ht="15" customHeight="1" x14ac:dyDescent="0.25"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</row>
    <row r="1518" spans="14:25" ht="15" customHeight="1" x14ac:dyDescent="0.25"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</row>
    <row r="1519" spans="14:25" ht="15" customHeight="1" x14ac:dyDescent="0.25"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</row>
    <row r="1520" spans="14:25" ht="15" customHeight="1" x14ac:dyDescent="0.25"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</row>
    <row r="1521" spans="14:25" ht="15" customHeight="1" x14ac:dyDescent="0.25"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</row>
    <row r="1522" spans="14:25" ht="15" customHeight="1" x14ac:dyDescent="0.25"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</row>
    <row r="1523" spans="14:25" ht="15" customHeight="1" x14ac:dyDescent="0.25"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</row>
    <row r="1524" spans="14:25" ht="15" customHeight="1" x14ac:dyDescent="0.25"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</row>
    <row r="1525" spans="14:25" ht="15" customHeight="1" x14ac:dyDescent="0.25"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</row>
    <row r="1526" spans="14:25" ht="15" customHeight="1" x14ac:dyDescent="0.25"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</row>
    <row r="1527" spans="14:25" ht="15" customHeight="1" x14ac:dyDescent="0.25"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</row>
    <row r="1528" spans="14:25" ht="15" customHeight="1" x14ac:dyDescent="0.25"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</row>
    <row r="1529" spans="14:25" ht="15" customHeight="1" x14ac:dyDescent="0.25"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</row>
    <row r="1530" spans="14:25" ht="15" customHeight="1" x14ac:dyDescent="0.25"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</row>
    <row r="1531" spans="14:25" ht="15" customHeight="1" x14ac:dyDescent="0.25"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</row>
    <row r="1532" spans="14:25" ht="15" customHeight="1" x14ac:dyDescent="0.25"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</row>
    <row r="1533" spans="14:25" ht="15" customHeight="1" x14ac:dyDescent="0.25"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</row>
    <row r="1534" spans="14:25" ht="15" customHeight="1" x14ac:dyDescent="0.25"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</row>
    <row r="1535" spans="14:25" ht="15" customHeight="1" x14ac:dyDescent="0.25"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</row>
    <row r="1536" spans="14:25" ht="15" customHeight="1" x14ac:dyDescent="0.25"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</row>
    <row r="1537" spans="14:25" ht="15" customHeight="1" x14ac:dyDescent="0.25"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</row>
    <row r="1538" spans="14:25" ht="15" customHeight="1" x14ac:dyDescent="0.25"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</row>
    <row r="1539" spans="14:25" ht="15" customHeight="1" x14ac:dyDescent="0.25"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</row>
    <row r="1540" spans="14:25" ht="15" customHeight="1" x14ac:dyDescent="0.25"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</row>
    <row r="1541" spans="14:25" ht="15" customHeight="1" x14ac:dyDescent="0.25"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</row>
    <row r="1542" spans="14:25" ht="15" customHeight="1" x14ac:dyDescent="0.25"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</row>
    <row r="1543" spans="14:25" ht="15" customHeight="1" x14ac:dyDescent="0.25"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</row>
    <row r="1544" spans="14:25" ht="15" customHeight="1" x14ac:dyDescent="0.25"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</row>
    <row r="1545" spans="14:25" ht="15" customHeight="1" x14ac:dyDescent="0.25"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</row>
    <row r="1546" spans="14:25" ht="15" customHeight="1" x14ac:dyDescent="0.25"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</row>
    <row r="1547" spans="14:25" ht="15" customHeight="1" x14ac:dyDescent="0.25"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</row>
    <row r="1548" spans="14:25" ht="15" customHeight="1" x14ac:dyDescent="0.25"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</row>
    <row r="1549" spans="14:25" ht="15" customHeight="1" x14ac:dyDescent="0.25"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</row>
    <row r="1550" spans="14:25" ht="15" customHeight="1" x14ac:dyDescent="0.25"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</row>
    <row r="1551" spans="14:25" ht="15" customHeight="1" x14ac:dyDescent="0.25"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</row>
    <row r="1552" spans="14:25" ht="15" customHeight="1" x14ac:dyDescent="0.25"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</row>
    <row r="1553" spans="14:25" ht="15" customHeight="1" x14ac:dyDescent="0.25"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</row>
    <row r="1554" spans="14:25" ht="15" customHeight="1" x14ac:dyDescent="0.25"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</row>
    <row r="1555" spans="14:25" ht="15" customHeight="1" x14ac:dyDescent="0.25"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</row>
    <row r="1556" spans="14:25" ht="15" customHeight="1" x14ac:dyDescent="0.25"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</row>
    <row r="1557" spans="14:25" ht="15" customHeight="1" x14ac:dyDescent="0.25"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</row>
    <row r="1558" spans="14:25" ht="15" customHeight="1" x14ac:dyDescent="0.25"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</row>
    <row r="1559" spans="14:25" ht="15" customHeight="1" x14ac:dyDescent="0.25"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</row>
    <row r="1560" spans="14:25" ht="15" customHeight="1" x14ac:dyDescent="0.25"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</row>
    <row r="1561" spans="14:25" ht="15" customHeight="1" x14ac:dyDescent="0.25"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</row>
    <row r="1562" spans="14:25" ht="15" customHeight="1" x14ac:dyDescent="0.25"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</row>
    <row r="1563" spans="14:25" ht="15" customHeight="1" x14ac:dyDescent="0.25"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</row>
    <row r="1564" spans="14:25" ht="15" customHeight="1" x14ac:dyDescent="0.25"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</row>
    <row r="1565" spans="14:25" ht="15" customHeight="1" x14ac:dyDescent="0.25"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</row>
    <row r="1566" spans="14:25" ht="15" customHeight="1" x14ac:dyDescent="0.25"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</row>
    <row r="1567" spans="14:25" ht="15" customHeight="1" x14ac:dyDescent="0.25"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</row>
    <row r="1568" spans="14:25" ht="15" customHeight="1" x14ac:dyDescent="0.25"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</row>
    <row r="1569" spans="14:25" ht="15" customHeight="1" x14ac:dyDescent="0.25"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</row>
    <row r="1570" spans="14:25" ht="15" customHeight="1" x14ac:dyDescent="0.25"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</row>
    <row r="1571" spans="14:25" ht="15" customHeight="1" x14ac:dyDescent="0.25"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</row>
    <row r="1572" spans="14:25" ht="15" customHeight="1" x14ac:dyDescent="0.25"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</row>
    <row r="1573" spans="14:25" ht="15" customHeight="1" x14ac:dyDescent="0.25"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</row>
    <row r="1574" spans="14:25" ht="15" customHeight="1" x14ac:dyDescent="0.25"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</row>
    <row r="1575" spans="14:25" ht="15" customHeight="1" x14ac:dyDescent="0.25"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</row>
    <row r="1576" spans="14:25" ht="15" customHeight="1" x14ac:dyDescent="0.25"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</row>
    <row r="1577" spans="14:25" ht="15" customHeight="1" x14ac:dyDescent="0.25"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</row>
    <row r="1578" spans="14:25" ht="15" customHeight="1" x14ac:dyDescent="0.25"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</row>
    <row r="1579" spans="14:25" ht="15" customHeight="1" x14ac:dyDescent="0.25"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</row>
    <row r="1580" spans="14:25" ht="15" customHeight="1" x14ac:dyDescent="0.25"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</row>
    <row r="1581" spans="14:25" ht="15" customHeight="1" x14ac:dyDescent="0.25"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</row>
    <row r="1582" spans="14:25" ht="15" customHeight="1" x14ac:dyDescent="0.25"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</row>
    <row r="1583" spans="14:25" ht="15" customHeight="1" x14ac:dyDescent="0.25"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</row>
    <row r="1584" spans="14:25" ht="15" customHeight="1" x14ac:dyDescent="0.25"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</row>
    <row r="1585" spans="14:25" ht="15" customHeight="1" x14ac:dyDescent="0.25"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</row>
    <row r="1586" spans="14:25" ht="15" customHeight="1" x14ac:dyDescent="0.25"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</row>
    <row r="1587" spans="14:25" ht="15" customHeight="1" x14ac:dyDescent="0.25"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</row>
    <row r="1588" spans="14:25" ht="15" customHeight="1" x14ac:dyDescent="0.25"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</row>
    <row r="1589" spans="14:25" ht="15" customHeight="1" x14ac:dyDescent="0.25"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</row>
    <row r="1590" spans="14:25" ht="15" customHeight="1" x14ac:dyDescent="0.25"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</row>
    <row r="1591" spans="14:25" ht="15" customHeight="1" x14ac:dyDescent="0.25"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</row>
    <row r="1592" spans="14:25" ht="15" customHeight="1" x14ac:dyDescent="0.25"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</row>
    <row r="1593" spans="14:25" ht="15" customHeight="1" x14ac:dyDescent="0.25"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</row>
    <row r="1594" spans="14:25" ht="15" customHeight="1" x14ac:dyDescent="0.25"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</row>
    <row r="1595" spans="14:25" ht="15" customHeight="1" x14ac:dyDescent="0.25"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</row>
    <row r="1596" spans="14:25" ht="15" customHeight="1" x14ac:dyDescent="0.25"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</row>
    <row r="1597" spans="14:25" ht="15" customHeight="1" x14ac:dyDescent="0.25"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</row>
    <row r="1598" spans="14:25" ht="15" customHeight="1" x14ac:dyDescent="0.25"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</row>
    <row r="1599" spans="14:25" ht="15" customHeight="1" x14ac:dyDescent="0.25"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</row>
    <row r="1600" spans="14:25" ht="15" customHeight="1" x14ac:dyDescent="0.25"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44"/>
      <c r="Y1600" s="44"/>
    </row>
    <row r="1601" spans="14:25" ht="15" customHeight="1" x14ac:dyDescent="0.25"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44"/>
      <c r="Y1601" s="44"/>
    </row>
    <row r="1602" spans="14:25" ht="15" customHeight="1" x14ac:dyDescent="0.25"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44"/>
      <c r="Y1602" s="44"/>
    </row>
    <row r="1603" spans="14:25" ht="15" customHeight="1" x14ac:dyDescent="0.25"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44"/>
      <c r="Y1603" s="44"/>
    </row>
    <row r="1604" spans="14:25" ht="15" customHeight="1" x14ac:dyDescent="0.25"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44"/>
      <c r="Y1604" s="44"/>
    </row>
    <row r="1605" spans="14:25" ht="15" customHeight="1" x14ac:dyDescent="0.25"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</row>
    <row r="1606" spans="14:25" ht="15" customHeight="1" x14ac:dyDescent="0.25"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</row>
    <row r="1607" spans="14:25" ht="15" customHeight="1" x14ac:dyDescent="0.25"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</row>
    <row r="1608" spans="14:25" ht="15" customHeight="1" x14ac:dyDescent="0.25"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</row>
    <row r="1609" spans="14:25" ht="15" customHeight="1" x14ac:dyDescent="0.25"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</row>
    <row r="1610" spans="14:25" ht="15" customHeight="1" x14ac:dyDescent="0.25"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</row>
    <row r="1611" spans="14:25" ht="15" customHeight="1" x14ac:dyDescent="0.25"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</row>
    <row r="1612" spans="14:25" ht="15" customHeight="1" x14ac:dyDescent="0.25"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</row>
    <row r="1613" spans="14:25" ht="15" customHeight="1" x14ac:dyDescent="0.25"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</row>
    <row r="1614" spans="14:25" ht="15" customHeight="1" x14ac:dyDescent="0.25"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44"/>
      <c r="Y1614" s="44"/>
    </row>
    <row r="1615" spans="14:25" ht="15" customHeight="1" x14ac:dyDescent="0.25"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44"/>
      <c r="Y1615" s="44"/>
    </row>
    <row r="1616" spans="14:25" ht="15" customHeight="1" x14ac:dyDescent="0.25"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44"/>
      <c r="Y1616" s="44"/>
    </row>
    <row r="1617" spans="14:25" ht="15" customHeight="1" x14ac:dyDescent="0.25"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44"/>
      <c r="Y1617" s="44"/>
    </row>
    <row r="1618" spans="14:25" ht="15" customHeight="1" x14ac:dyDescent="0.25"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44"/>
      <c r="Y1618" s="44"/>
    </row>
    <row r="1619" spans="14:25" ht="15" customHeight="1" x14ac:dyDescent="0.25"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44"/>
      <c r="Y1619" s="44"/>
    </row>
    <row r="1620" spans="14:25" ht="15" customHeight="1" x14ac:dyDescent="0.25"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44"/>
      <c r="Y1620" s="44"/>
    </row>
    <row r="1621" spans="14:25" ht="15" customHeight="1" x14ac:dyDescent="0.25"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44"/>
      <c r="Y1621" s="44"/>
    </row>
    <row r="1622" spans="14:25" ht="15" customHeight="1" x14ac:dyDescent="0.25"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44"/>
      <c r="Y1622" s="44"/>
    </row>
    <row r="1623" spans="14:25" ht="15" customHeight="1" x14ac:dyDescent="0.25"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44"/>
      <c r="Y1623" s="44"/>
    </row>
    <row r="1624" spans="14:25" ht="15" customHeight="1" x14ac:dyDescent="0.25"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44"/>
      <c r="Y1624" s="44"/>
    </row>
    <row r="1625" spans="14:25" ht="15" customHeight="1" x14ac:dyDescent="0.25"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44"/>
      <c r="Y1625" s="44"/>
    </row>
    <row r="1626" spans="14:25" ht="15" customHeight="1" x14ac:dyDescent="0.25"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44"/>
      <c r="Y1626" s="44"/>
    </row>
    <row r="1627" spans="14:25" ht="15" customHeight="1" x14ac:dyDescent="0.25"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44"/>
      <c r="Y1627" s="44"/>
    </row>
    <row r="1628" spans="14:25" ht="15" customHeight="1" x14ac:dyDescent="0.25"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44"/>
      <c r="Y1628" s="44"/>
    </row>
    <row r="1629" spans="14:25" ht="15" customHeight="1" x14ac:dyDescent="0.25"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44"/>
      <c r="Y1629" s="44"/>
    </row>
    <row r="1630" spans="14:25" ht="15" customHeight="1" x14ac:dyDescent="0.25"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44"/>
      <c r="Y1630" s="44"/>
    </row>
    <row r="1631" spans="14:25" ht="15" customHeight="1" x14ac:dyDescent="0.25"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44"/>
      <c r="Y1631" s="44"/>
    </row>
    <row r="1632" spans="14:25" ht="15" customHeight="1" x14ac:dyDescent="0.25"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44"/>
      <c r="Y1632" s="44"/>
    </row>
    <row r="1633" spans="14:25" ht="15" customHeight="1" x14ac:dyDescent="0.25"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44"/>
      <c r="Y1633" s="44"/>
    </row>
    <row r="1634" spans="14:25" ht="15" customHeight="1" x14ac:dyDescent="0.25"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44"/>
      <c r="Y1634" s="44"/>
    </row>
    <row r="1635" spans="14:25" ht="15" customHeight="1" x14ac:dyDescent="0.25"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44"/>
      <c r="Y1635" s="44"/>
    </row>
    <row r="1636" spans="14:25" ht="15" customHeight="1" x14ac:dyDescent="0.25"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44"/>
      <c r="Y1636" s="44"/>
    </row>
    <row r="1637" spans="14:25" ht="15" customHeight="1" x14ac:dyDescent="0.25"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44"/>
      <c r="Y1637" s="44"/>
    </row>
    <row r="1638" spans="14:25" ht="15" customHeight="1" x14ac:dyDescent="0.25"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44"/>
      <c r="Y1638" s="44"/>
    </row>
    <row r="1639" spans="14:25" ht="15" customHeight="1" x14ac:dyDescent="0.25"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44"/>
      <c r="Y1639" s="44"/>
    </row>
    <row r="1640" spans="14:25" ht="15" customHeight="1" x14ac:dyDescent="0.25"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44"/>
      <c r="Y1640" s="44"/>
    </row>
    <row r="1641" spans="14:25" ht="15" customHeight="1" x14ac:dyDescent="0.25"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44"/>
      <c r="Y1641" s="44"/>
    </row>
    <row r="1642" spans="14:25" ht="15" customHeight="1" x14ac:dyDescent="0.25"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44"/>
      <c r="Y1642" s="44"/>
    </row>
    <row r="1643" spans="14:25" ht="15" customHeight="1" x14ac:dyDescent="0.25"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44"/>
      <c r="Y1643" s="44"/>
    </row>
    <row r="1644" spans="14:25" ht="15" customHeight="1" x14ac:dyDescent="0.25"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44"/>
      <c r="Y1644" s="44"/>
    </row>
    <row r="1645" spans="14:25" ht="15" customHeight="1" x14ac:dyDescent="0.25"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44"/>
      <c r="Y1645" s="44"/>
    </row>
    <row r="1646" spans="14:25" ht="15" customHeight="1" x14ac:dyDescent="0.25"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44"/>
      <c r="Y1646" s="44"/>
    </row>
    <row r="1647" spans="14:25" ht="15" customHeight="1" x14ac:dyDescent="0.25"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44"/>
      <c r="Y1647" s="44"/>
    </row>
    <row r="1648" spans="14:25" ht="15" customHeight="1" x14ac:dyDescent="0.25"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44"/>
      <c r="Y1648" s="44"/>
    </row>
    <row r="1649" spans="14:25" ht="15" customHeight="1" x14ac:dyDescent="0.25"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44"/>
      <c r="Y1649" s="44"/>
    </row>
    <row r="1650" spans="14:25" ht="15" customHeight="1" x14ac:dyDescent="0.25"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44"/>
      <c r="Y1650" s="44"/>
    </row>
    <row r="1651" spans="14:25" ht="15" customHeight="1" x14ac:dyDescent="0.25"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44"/>
      <c r="Y1651" s="44"/>
    </row>
    <row r="1652" spans="14:25" ht="15" customHeight="1" x14ac:dyDescent="0.25"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44"/>
      <c r="Y1652" s="44"/>
    </row>
    <row r="1653" spans="14:25" ht="15" customHeight="1" x14ac:dyDescent="0.25"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44"/>
      <c r="Y1653" s="44"/>
    </row>
    <row r="1654" spans="14:25" ht="15" customHeight="1" x14ac:dyDescent="0.25"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</row>
    <row r="1655" spans="14:25" ht="15" customHeight="1" x14ac:dyDescent="0.25"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44"/>
      <c r="Y1655" s="44"/>
    </row>
    <row r="1656" spans="14:25" ht="15" customHeight="1" x14ac:dyDescent="0.25"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44"/>
      <c r="Y1656" s="44"/>
    </row>
    <row r="1657" spans="14:25" ht="15" customHeight="1" x14ac:dyDescent="0.25"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44"/>
      <c r="Y1657" s="44"/>
    </row>
    <row r="1658" spans="14:25" ht="15" customHeight="1" x14ac:dyDescent="0.25"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44"/>
      <c r="Y1658" s="44"/>
    </row>
    <row r="1659" spans="14:25" ht="15" customHeight="1" x14ac:dyDescent="0.25"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44"/>
      <c r="Y1659" s="44"/>
    </row>
    <row r="1660" spans="14:25" ht="15" customHeight="1" x14ac:dyDescent="0.25"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</row>
    <row r="1661" spans="14:25" ht="15" customHeight="1" x14ac:dyDescent="0.25"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</row>
    <row r="1662" spans="14:25" ht="15" customHeight="1" x14ac:dyDescent="0.25"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</row>
    <row r="1663" spans="14:25" ht="15" customHeight="1" x14ac:dyDescent="0.25"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</row>
    <row r="1664" spans="14:25" ht="15" customHeight="1" x14ac:dyDescent="0.25"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44"/>
      <c r="Y1664" s="44"/>
    </row>
    <row r="1665" spans="14:25" ht="15" customHeight="1" x14ac:dyDescent="0.25"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44"/>
      <c r="Y1665" s="44"/>
    </row>
    <row r="1666" spans="14:25" ht="15" customHeight="1" x14ac:dyDescent="0.25"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44"/>
      <c r="Y1666" s="44"/>
    </row>
    <row r="1667" spans="14:25" ht="15" customHeight="1" x14ac:dyDescent="0.25"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44"/>
      <c r="Y1667" s="44"/>
    </row>
    <row r="1668" spans="14:25" ht="15" customHeight="1" x14ac:dyDescent="0.25"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44"/>
      <c r="Y1668" s="44"/>
    </row>
    <row r="1669" spans="14:25" ht="15" customHeight="1" x14ac:dyDescent="0.25"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44"/>
      <c r="Y1669" s="44"/>
    </row>
    <row r="1670" spans="14:25" ht="15" customHeight="1" x14ac:dyDescent="0.25"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44"/>
      <c r="Y1670" s="44"/>
    </row>
    <row r="1671" spans="14:25" ht="15" customHeight="1" x14ac:dyDescent="0.25">
      <c r="N1671" s="44"/>
      <c r="O1671" s="44"/>
      <c r="P1671" s="44"/>
      <c r="Q1671" s="44"/>
      <c r="R1671" s="44"/>
      <c r="S1671" s="44"/>
      <c r="T1671" s="44"/>
      <c r="U1671" s="44"/>
      <c r="V1671" s="44"/>
      <c r="W1671" s="44"/>
      <c r="X1671" s="44"/>
      <c r="Y1671" s="44"/>
    </row>
    <row r="1672" spans="14:25" ht="15" customHeight="1" x14ac:dyDescent="0.25">
      <c r="N1672" s="44"/>
      <c r="O1672" s="44"/>
      <c r="P1672" s="44"/>
      <c r="Q1672" s="44"/>
      <c r="R1672" s="44"/>
      <c r="S1672" s="44"/>
      <c r="T1672" s="44"/>
      <c r="U1672" s="44"/>
      <c r="V1672" s="44"/>
      <c r="W1672" s="44"/>
      <c r="X1672" s="44"/>
      <c r="Y1672" s="44"/>
    </row>
    <row r="1673" spans="14:25" ht="15" customHeight="1" x14ac:dyDescent="0.25">
      <c r="N1673" s="44"/>
      <c r="O1673" s="44"/>
      <c r="P1673" s="44"/>
      <c r="Q1673" s="44"/>
      <c r="R1673" s="44"/>
      <c r="S1673" s="44"/>
      <c r="T1673" s="44"/>
      <c r="U1673" s="44"/>
      <c r="V1673" s="44"/>
      <c r="W1673" s="44"/>
      <c r="X1673" s="44"/>
      <c r="Y1673" s="44"/>
    </row>
    <row r="1674" spans="14:25" ht="15" customHeight="1" x14ac:dyDescent="0.25">
      <c r="N1674" s="44"/>
      <c r="O1674" s="44"/>
      <c r="P1674" s="44"/>
      <c r="Q1674" s="44"/>
      <c r="R1674" s="44"/>
      <c r="S1674" s="44"/>
      <c r="T1674" s="44"/>
      <c r="U1674" s="44"/>
      <c r="V1674" s="44"/>
      <c r="W1674" s="44"/>
      <c r="X1674" s="44"/>
      <c r="Y1674" s="44"/>
    </row>
    <row r="1675" spans="14:25" ht="15" customHeight="1" x14ac:dyDescent="0.25">
      <c r="N1675" s="44"/>
      <c r="O1675" s="44"/>
      <c r="P1675" s="44"/>
      <c r="Q1675" s="44"/>
      <c r="R1675" s="44"/>
      <c r="S1675" s="44"/>
      <c r="T1675" s="44"/>
      <c r="U1675" s="44"/>
      <c r="V1675" s="44"/>
      <c r="W1675" s="44"/>
      <c r="X1675" s="44"/>
      <c r="Y1675" s="44"/>
    </row>
    <row r="1676" spans="14:25" ht="15" customHeight="1" x14ac:dyDescent="0.25"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44"/>
      <c r="Y1676" s="44"/>
    </row>
    <row r="1677" spans="14:25" ht="15" customHeight="1" x14ac:dyDescent="0.25"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44"/>
      <c r="Y1677" s="44"/>
    </row>
    <row r="1678" spans="14:25" ht="15" customHeight="1" x14ac:dyDescent="0.25"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44"/>
      <c r="Y1678" s="44"/>
    </row>
    <row r="1679" spans="14:25" ht="15" customHeight="1" x14ac:dyDescent="0.25"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44"/>
      <c r="Y1679" s="44"/>
    </row>
    <row r="1680" spans="14:25" ht="15" customHeight="1" x14ac:dyDescent="0.25">
      <c r="N1680" s="44"/>
      <c r="O1680" s="44"/>
      <c r="P1680" s="44"/>
      <c r="Q1680" s="44"/>
      <c r="R1680" s="44"/>
      <c r="S1680" s="44"/>
      <c r="T1680" s="44"/>
      <c r="U1680" s="44"/>
      <c r="V1680" s="44"/>
      <c r="W1680" s="44"/>
      <c r="X1680" s="44"/>
      <c r="Y1680" s="44"/>
    </row>
    <row r="1681" spans="14:25" ht="15" customHeight="1" x14ac:dyDescent="0.25">
      <c r="N1681" s="44"/>
      <c r="O1681" s="44"/>
      <c r="P1681" s="44"/>
      <c r="Q1681" s="44"/>
      <c r="R1681" s="44"/>
      <c r="S1681" s="44"/>
      <c r="T1681" s="44"/>
      <c r="U1681" s="44"/>
      <c r="V1681" s="44"/>
      <c r="W1681" s="44"/>
      <c r="X1681" s="44"/>
      <c r="Y1681" s="44"/>
    </row>
    <row r="1682" spans="14:25" ht="15" customHeight="1" x14ac:dyDescent="0.25">
      <c r="N1682" s="44"/>
      <c r="O1682" s="44"/>
      <c r="P1682" s="44"/>
      <c r="Q1682" s="44"/>
      <c r="R1682" s="44"/>
      <c r="S1682" s="44"/>
      <c r="T1682" s="44"/>
      <c r="U1682" s="44"/>
      <c r="V1682" s="44"/>
      <c r="W1682" s="44"/>
      <c r="X1682" s="44"/>
      <c r="Y1682" s="44"/>
    </row>
    <row r="1683" spans="14:25" ht="15" customHeight="1" x14ac:dyDescent="0.25">
      <c r="N1683" s="44"/>
      <c r="O1683" s="44"/>
      <c r="P1683" s="44"/>
      <c r="Q1683" s="44"/>
      <c r="R1683" s="44"/>
      <c r="S1683" s="44"/>
      <c r="T1683" s="44"/>
      <c r="U1683" s="44"/>
      <c r="V1683" s="44"/>
      <c r="W1683" s="44"/>
      <c r="X1683" s="44"/>
      <c r="Y1683" s="44"/>
    </row>
    <row r="1684" spans="14:25" ht="15" customHeight="1" x14ac:dyDescent="0.25">
      <c r="N1684" s="44"/>
      <c r="O1684" s="44"/>
      <c r="P1684" s="44"/>
      <c r="Q1684" s="44"/>
      <c r="R1684" s="44"/>
      <c r="S1684" s="44"/>
      <c r="T1684" s="44"/>
      <c r="U1684" s="44"/>
      <c r="V1684" s="44"/>
      <c r="W1684" s="44"/>
      <c r="X1684" s="44"/>
      <c r="Y1684" s="44"/>
    </row>
    <row r="1685" spans="14:25" ht="15" customHeight="1" x14ac:dyDescent="0.25">
      <c r="N1685" s="44"/>
      <c r="O1685" s="44"/>
      <c r="P1685" s="44"/>
      <c r="Q1685" s="44"/>
      <c r="R1685" s="44"/>
      <c r="S1685" s="44"/>
      <c r="T1685" s="44"/>
      <c r="U1685" s="44"/>
      <c r="V1685" s="44"/>
      <c r="W1685" s="44"/>
      <c r="X1685" s="44"/>
      <c r="Y1685" s="44"/>
    </row>
    <row r="1686" spans="14:25" ht="15" customHeight="1" x14ac:dyDescent="0.25">
      <c r="N1686" s="44"/>
      <c r="O1686" s="44"/>
      <c r="P1686" s="44"/>
      <c r="Q1686" s="44"/>
      <c r="R1686" s="44"/>
      <c r="S1686" s="44"/>
      <c r="T1686" s="44"/>
      <c r="U1686" s="44"/>
      <c r="V1686" s="44"/>
      <c r="W1686" s="44"/>
      <c r="X1686" s="44"/>
      <c r="Y1686" s="44"/>
    </row>
    <row r="1687" spans="14:25" ht="15" customHeight="1" x14ac:dyDescent="0.25">
      <c r="N1687" s="44"/>
      <c r="O1687" s="44"/>
      <c r="P1687" s="44"/>
      <c r="Q1687" s="44"/>
      <c r="R1687" s="44"/>
      <c r="S1687" s="44"/>
      <c r="T1687" s="44"/>
      <c r="U1687" s="44"/>
      <c r="V1687" s="44"/>
      <c r="W1687" s="44"/>
      <c r="X1687" s="44"/>
      <c r="Y1687" s="44"/>
    </row>
    <row r="1688" spans="14:25" ht="15" customHeight="1" x14ac:dyDescent="0.25">
      <c r="N1688" s="44"/>
      <c r="O1688" s="44"/>
      <c r="P1688" s="44"/>
      <c r="Q1688" s="44"/>
      <c r="R1688" s="44"/>
      <c r="S1688" s="44"/>
      <c r="T1688" s="44"/>
      <c r="U1688" s="44"/>
      <c r="V1688" s="44"/>
      <c r="W1688" s="44"/>
      <c r="X1688" s="44"/>
      <c r="Y1688" s="44"/>
    </row>
    <row r="1689" spans="14:25" ht="15" customHeight="1" x14ac:dyDescent="0.25">
      <c r="N1689" s="44"/>
      <c r="O1689" s="44"/>
      <c r="P1689" s="44"/>
      <c r="Q1689" s="44"/>
      <c r="R1689" s="44"/>
      <c r="S1689" s="44"/>
      <c r="T1689" s="44"/>
      <c r="U1689" s="44"/>
      <c r="V1689" s="44"/>
      <c r="W1689" s="44"/>
      <c r="X1689" s="44"/>
      <c r="Y1689" s="44"/>
    </row>
    <row r="1690" spans="14:25" ht="15" customHeight="1" x14ac:dyDescent="0.25">
      <c r="N1690" s="44"/>
      <c r="O1690" s="44"/>
      <c r="P1690" s="44"/>
      <c r="Q1690" s="44"/>
      <c r="R1690" s="44"/>
      <c r="S1690" s="44"/>
      <c r="T1690" s="44"/>
      <c r="U1690" s="44"/>
      <c r="V1690" s="44"/>
      <c r="W1690" s="44"/>
      <c r="X1690" s="44"/>
      <c r="Y1690" s="44"/>
    </row>
    <row r="1691" spans="14:25" ht="15" customHeight="1" x14ac:dyDescent="0.25">
      <c r="N1691" s="44"/>
      <c r="O1691" s="44"/>
      <c r="P1691" s="44"/>
      <c r="Q1691" s="44"/>
      <c r="R1691" s="44"/>
      <c r="S1691" s="44"/>
      <c r="T1691" s="44"/>
      <c r="U1691" s="44"/>
      <c r="V1691" s="44"/>
      <c r="W1691" s="44"/>
      <c r="X1691" s="44"/>
      <c r="Y1691" s="44"/>
    </row>
    <row r="1692" spans="14:25" ht="15" customHeight="1" x14ac:dyDescent="0.25">
      <c r="N1692" s="44"/>
      <c r="O1692" s="44"/>
      <c r="P1692" s="44"/>
      <c r="Q1692" s="44"/>
      <c r="R1692" s="44"/>
      <c r="S1692" s="44"/>
      <c r="T1692" s="44"/>
      <c r="U1692" s="44"/>
      <c r="V1692" s="44"/>
      <c r="W1692" s="44"/>
      <c r="X1692" s="44"/>
      <c r="Y1692" s="44"/>
    </row>
    <row r="1693" spans="14:25" ht="15" customHeight="1" x14ac:dyDescent="0.25"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44"/>
      <c r="Y1693" s="44"/>
    </row>
    <row r="1694" spans="14:25" ht="15" customHeight="1" x14ac:dyDescent="0.25">
      <c r="N1694" s="44"/>
      <c r="O1694" s="44"/>
      <c r="P1694" s="44"/>
      <c r="Q1694" s="44"/>
      <c r="R1694" s="44"/>
      <c r="S1694" s="44"/>
      <c r="T1694" s="44"/>
      <c r="U1694" s="44"/>
      <c r="V1694" s="44"/>
      <c r="W1694" s="44"/>
      <c r="X1694" s="44"/>
      <c r="Y1694" s="44"/>
    </row>
    <row r="1695" spans="14:25" ht="15" customHeight="1" x14ac:dyDescent="0.25">
      <c r="N1695" s="44"/>
      <c r="O1695" s="44"/>
      <c r="P1695" s="44"/>
      <c r="Q1695" s="44"/>
      <c r="R1695" s="44"/>
      <c r="S1695" s="44"/>
      <c r="T1695" s="44"/>
      <c r="U1695" s="44"/>
      <c r="V1695" s="44"/>
      <c r="W1695" s="44"/>
      <c r="X1695" s="44"/>
      <c r="Y1695" s="44"/>
    </row>
    <row r="1696" spans="14:25" ht="15" customHeight="1" x14ac:dyDescent="0.25">
      <c r="N1696" s="44"/>
      <c r="O1696" s="44"/>
      <c r="P1696" s="44"/>
      <c r="Q1696" s="44"/>
      <c r="R1696" s="44"/>
      <c r="S1696" s="44"/>
      <c r="T1696" s="44"/>
      <c r="U1696" s="44"/>
      <c r="V1696" s="44"/>
      <c r="W1696" s="44"/>
      <c r="X1696" s="44"/>
      <c r="Y1696" s="44"/>
    </row>
    <row r="1697" spans="14:25" ht="15" customHeight="1" x14ac:dyDescent="0.25">
      <c r="N1697" s="44"/>
      <c r="O1697" s="44"/>
      <c r="P1697" s="44"/>
      <c r="Q1697" s="44"/>
      <c r="R1697" s="44"/>
      <c r="S1697" s="44"/>
      <c r="T1697" s="44"/>
      <c r="U1697" s="44"/>
      <c r="V1697" s="44"/>
      <c r="W1697" s="44"/>
      <c r="X1697" s="44"/>
      <c r="Y1697" s="44"/>
    </row>
    <row r="1698" spans="14:25" ht="15" customHeight="1" x14ac:dyDescent="0.25">
      <c r="N1698" s="44"/>
      <c r="O1698" s="44"/>
      <c r="P1698" s="44"/>
      <c r="Q1698" s="44"/>
      <c r="R1698" s="44"/>
      <c r="S1698" s="44"/>
      <c r="T1698" s="44"/>
      <c r="U1698" s="44"/>
      <c r="V1698" s="44"/>
      <c r="W1698" s="44"/>
      <c r="X1698" s="44"/>
      <c r="Y1698" s="44"/>
    </row>
    <row r="1699" spans="14:25" ht="15" customHeight="1" x14ac:dyDescent="0.25"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44"/>
      <c r="Y1699" s="44"/>
    </row>
    <row r="1700" spans="14:25" ht="15" customHeight="1" x14ac:dyDescent="0.25"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44"/>
      <c r="Y1700" s="44"/>
    </row>
    <row r="1701" spans="14:25" ht="15" customHeight="1" x14ac:dyDescent="0.25"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44"/>
      <c r="Y1701" s="44"/>
    </row>
    <row r="1702" spans="14:25" ht="15" customHeight="1" x14ac:dyDescent="0.25"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44"/>
      <c r="Y1702" s="44"/>
    </row>
    <row r="1703" spans="14:25" ht="15" customHeight="1" x14ac:dyDescent="0.25">
      <c r="N1703" s="44"/>
      <c r="O1703" s="44"/>
      <c r="P1703" s="44"/>
      <c r="Q1703" s="44"/>
      <c r="R1703" s="44"/>
      <c r="S1703" s="44"/>
      <c r="T1703" s="44"/>
      <c r="U1703" s="44"/>
      <c r="V1703" s="44"/>
      <c r="W1703" s="44"/>
      <c r="X1703" s="44"/>
      <c r="Y1703" s="44"/>
    </row>
    <row r="1704" spans="14:25" ht="15" customHeight="1" x14ac:dyDescent="0.25">
      <c r="N1704" s="44"/>
      <c r="O1704" s="44"/>
      <c r="P1704" s="44"/>
      <c r="Q1704" s="44"/>
      <c r="R1704" s="44"/>
      <c r="S1704" s="44"/>
      <c r="T1704" s="44"/>
      <c r="U1704" s="44"/>
      <c r="V1704" s="44"/>
      <c r="W1704" s="44"/>
      <c r="X1704" s="44"/>
      <c r="Y1704" s="44"/>
    </row>
    <row r="1705" spans="14:25" ht="15" customHeight="1" x14ac:dyDescent="0.25">
      <c r="N1705" s="44"/>
      <c r="O1705" s="44"/>
      <c r="P1705" s="44"/>
      <c r="Q1705" s="44"/>
      <c r="R1705" s="44"/>
      <c r="S1705" s="44"/>
      <c r="T1705" s="44"/>
      <c r="U1705" s="44"/>
      <c r="V1705" s="44"/>
      <c r="W1705" s="44"/>
      <c r="X1705" s="44"/>
      <c r="Y1705" s="44"/>
    </row>
    <row r="1706" spans="14:25" ht="15" customHeight="1" x14ac:dyDescent="0.25">
      <c r="N1706" s="44"/>
      <c r="O1706" s="44"/>
      <c r="P1706" s="44"/>
      <c r="Q1706" s="44"/>
      <c r="R1706" s="44"/>
      <c r="S1706" s="44"/>
      <c r="T1706" s="44"/>
      <c r="U1706" s="44"/>
      <c r="V1706" s="44"/>
      <c r="W1706" s="44"/>
      <c r="X1706" s="44"/>
      <c r="Y1706" s="44"/>
    </row>
    <row r="1707" spans="14:25" ht="15" customHeight="1" x14ac:dyDescent="0.25">
      <c r="N1707" s="44"/>
      <c r="O1707" s="44"/>
      <c r="P1707" s="44"/>
      <c r="Q1707" s="44"/>
      <c r="R1707" s="44"/>
      <c r="S1707" s="44"/>
      <c r="T1707" s="44"/>
      <c r="U1707" s="44"/>
      <c r="V1707" s="44"/>
      <c r="W1707" s="44"/>
      <c r="X1707" s="44"/>
      <c r="Y1707" s="44"/>
    </row>
    <row r="1708" spans="14:25" ht="15" customHeight="1" x14ac:dyDescent="0.25">
      <c r="N1708" s="44"/>
      <c r="O1708" s="44"/>
      <c r="P1708" s="44"/>
      <c r="Q1708" s="44"/>
      <c r="R1708" s="44"/>
      <c r="S1708" s="44"/>
      <c r="T1708" s="44"/>
      <c r="U1708" s="44"/>
      <c r="V1708" s="44"/>
      <c r="W1708" s="44"/>
      <c r="X1708" s="44"/>
      <c r="Y1708" s="44"/>
    </row>
    <row r="1709" spans="14:25" ht="15" customHeight="1" x14ac:dyDescent="0.25">
      <c r="N1709" s="44"/>
      <c r="O1709" s="44"/>
      <c r="P1709" s="44"/>
      <c r="Q1709" s="44"/>
      <c r="R1709" s="44"/>
      <c r="S1709" s="44"/>
      <c r="T1709" s="44"/>
      <c r="U1709" s="44"/>
      <c r="V1709" s="44"/>
      <c r="W1709" s="44"/>
      <c r="X1709" s="44"/>
      <c r="Y1709" s="44"/>
    </row>
    <row r="1710" spans="14:25" ht="15" customHeight="1" x14ac:dyDescent="0.25">
      <c r="N1710" s="44"/>
      <c r="O1710" s="44"/>
      <c r="P1710" s="44"/>
      <c r="Q1710" s="44"/>
      <c r="R1710" s="44"/>
      <c r="S1710" s="44"/>
      <c r="T1710" s="44"/>
      <c r="U1710" s="44"/>
      <c r="V1710" s="44"/>
      <c r="W1710" s="44"/>
      <c r="X1710" s="44"/>
      <c r="Y1710" s="44"/>
    </row>
    <row r="1711" spans="14:25" ht="15" customHeight="1" x14ac:dyDescent="0.25">
      <c r="N1711" s="44"/>
      <c r="O1711" s="44"/>
      <c r="P1711" s="44"/>
      <c r="Q1711" s="44"/>
      <c r="R1711" s="44"/>
      <c r="S1711" s="44"/>
      <c r="T1711" s="44"/>
      <c r="U1711" s="44"/>
      <c r="V1711" s="44"/>
      <c r="W1711" s="44"/>
      <c r="X1711" s="44"/>
      <c r="Y1711" s="44"/>
    </row>
    <row r="1712" spans="14:25" ht="15" customHeight="1" x14ac:dyDescent="0.25">
      <c r="N1712" s="44"/>
      <c r="O1712" s="44"/>
      <c r="P1712" s="44"/>
      <c r="Q1712" s="44"/>
      <c r="R1712" s="44"/>
      <c r="S1712" s="44"/>
      <c r="T1712" s="44"/>
      <c r="U1712" s="44"/>
      <c r="V1712" s="44"/>
      <c r="W1712" s="44"/>
      <c r="X1712" s="44"/>
      <c r="Y1712" s="44"/>
    </row>
    <row r="1713" spans="14:25" ht="15" customHeight="1" x14ac:dyDescent="0.25">
      <c r="N1713" s="44"/>
      <c r="O1713" s="44"/>
      <c r="P1713" s="44"/>
      <c r="Q1713" s="44"/>
      <c r="R1713" s="44"/>
      <c r="S1713" s="44"/>
      <c r="T1713" s="44"/>
      <c r="U1713" s="44"/>
      <c r="V1713" s="44"/>
      <c r="W1713" s="44"/>
      <c r="X1713" s="44"/>
      <c r="Y1713" s="44"/>
    </row>
    <row r="1714" spans="14:25" ht="15" customHeight="1" x14ac:dyDescent="0.25">
      <c r="N1714" s="44"/>
      <c r="O1714" s="44"/>
      <c r="P1714" s="44"/>
      <c r="Q1714" s="44"/>
      <c r="R1714" s="44"/>
      <c r="S1714" s="44"/>
      <c r="T1714" s="44"/>
      <c r="U1714" s="44"/>
      <c r="V1714" s="44"/>
      <c r="W1714" s="44"/>
      <c r="X1714" s="44"/>
      <c r="Y1714" s="44"/>
    </row>
    <row r="1715" spans="14:25" ht="15" customHeight="1" x14ac:dyDescent="0.25">
      <c r="N1715" s="44"/>
      <c r="O1715" s="44"/>
      <c r="P1715" s="44"/>
      <c r="Q1715" s="44"/>
      <c r="R1715" s="44"/>
      <c r="S1715" s="44"/>
      <c r="T1715" s="44"/>
      <c r="U1715" s="44"/>
      <c r="V1715" s="44"/>
      <c r="W1715" s="44"/>
      <c r="X1715" s="44"/>
      <c r="Y1715" s="44"/>
    </row>
    <row r="1716" spans="14:25" ht="15" customHeight="1" x14ac:dyDescent="0.25">
      <c r="N1716" s="44"/>
      <c r="O1716" s="44"/>
      <c r="P1716" s="44"/>
      <c r="Q1716" s="44"/>
      <c r="R1716" s="44"/>
      <c r="S1716" s="44"/>
      <c r="T1716" s="44"/>
      <c r="U1716" s="44"/>
      <c r="V1716" s="44"/>
      <c r="W1716" s="44"/>
      <c r="X1716" s="44"/>
      <c r="Y1716" s="44"/>
    </row>
    <row r="1717" spans="14:25" ht="15" customHeight="1" x14ac:dyDescent="0.25">
      <c r="N1717" s="44"/>
      <c r="O1717" s="44"/>
      <c r="P1717" s="44"/>
      <c r="Q1717" s="44"/>
      <c r="R1717" s="44"/>
      <c r="S1717" s="44"/>
      <c r="T1717" s="44"/>
      <c r="U1717" s="44"/>
      <c r="V1717" s="44"/>
      <c r="W1717" s="44"/>
      <c r="X1717" s="44"/>
      <c r="Y1717" s="44"/>
    </row>
    <row r="1718" spans="14:25" ht="15" customHeight="1" x14ac:dyDescent="0.25">
      <c r="N1718" s="44"/>
      <c r="O1718" s="44"/>
      <c r="P1718" s="44"/>
      <c r="Q1718" s="44"/>
      <c r="R1718" s="44"/>
      <c r="S1718" s="44"/>
      <c r="T1718" s="44"/>
      <c r="U1718" s="44"/>
      <c r="V1718" s="44"/>
      <c r="W1718" s="44"/>
      <c r="X1718" s="44"/>
      <c r="Y1718" s="44"/>
    </row>
    <row r="1719" spans="14:25" ht="15" customHeight="1" x14ac:dyDescent="0.25">
      <c r="N1719" s="44"/>
      <c r="O1719" s="44"/>
      <c r="P1719" s="44"/>
      <c r="Q1719" s="44"/>
      <c r="R1719" s="44"/>
      <c r="S1719" s="44"/>
      <c r="T1719" s="44"/>
      <c r="U1719" s="44"/>
      <c r="V1719" s="44"/>
      <c r="W1719" s="44"/>
      <c r="X1719" s="44"/>
      <c r="Y1719" s="44"/>
    </row>
    <row r="1720" spans="14:25" ht="15" customHeight="1" x14ac:dyDescent="0.25">
      <c r="N1720" s="44"/>
      <c r="O1720" s="44"/>
      <c r="P1720" s="44"/>
      <c r="Q1720" s="44"/>
      <c r="R1720" s="44"/>
      <c r="S1720" s="44"/>
      <c r="T1720" s="44"/>
      <c r="U1720" s="44"/>
      <c r="V1720" s="44"/>
      <c r="W1720" s="44"/>
      <c r="X1720" s="44"/>
      <c r="Y1720" s="44"/>
    </row>
    <row r="1721" spans="14:25" ht="15" customHeight="1" x14ac:dyDescent="0.25">
      <c r="N1721" s="44"/>
      <c r="O1721" s="44"/>
      <c r="P1721" s="44"/>
      <c r="Q1721" s="44"/>
      <c r="R1721" s="44"/>
      <c r="S1721" s="44"/>
      <c r="T1721" s="44"/>
      <c r="U1721" s="44"/>
      <c r="V1721" s="44"/>
      <c r="W1721" s="44"/>
      <c r="X1721" s="44"/>
      <c r="Y1721" s="44"/>
    </row>
    <row r="1722" spans="14:25" ht="15" customHeight="1" x14ac:dyDescent="0.25">
      <c r="N1722" s="44"/>
      <c r="O1722" s="44"/>
      <c r="P1722" s="44"/>
      <c r="Q1722" s="44"/>
      <c r="R1722" s="44"/>
      <c r="S1722" s="44"/>
      <c r="T1722" s="44"/>
      <c r="U1722" s="44"/>
      <c r="V1722" s="44"/>
      <c r="W1722" s="44"/>
      <c r="X1722" s="44"/>
      <c r="Y1722" s="44"/>
    </row>
    <row r="1723" spans="14:25" ht="15" customHeight="1" x14ac:dyDescent="0.25">
      <c r="N1723" s="44"/>
      <c r="O1723" s="44"/>
      <c r="P1723" s="44"/>
      <c r="Q1723" s="44"/>
      <c r="R1723" s="44"/>
      <c r="S1723" s="44"/>
      <c r="T1723" s="44"/>
      <c r="U1723" s="44"/>
      <c r="V1723" s="44"/>
      <c r="W1723" s="44"/>
      <c r="X1723" s="44"/>
      <c r="Y1723" s="44"/>
    </row>
    <row r="1724" spans="14:25" ht="15" customHeight="1" x14ac:dyDescent="0.25">
      <c r="N1724" s="44"/>
      <c r="O1724" s="44"/>
      <c r="P1724" s="44"/>
      <c r="Q1724" s="44"/>
      <c r="R1724" s="44"/>
      <c r="S1724" s="44"/>
      <c r="T1724" s="44"/>
      <c r="U1724" s="44"/>
      <c r="V1724" s="44"/>
      <c r="W1724" s="44"/>
      <c r="X1724" s="44"/>
      <c r="Y1724" s="44"/>
    </row>
    <row r="1725" spans="14:25" ht="15" customHeight="1" x14ac:dyDescent="0.25">
      <c r="N1725" s="44"/>
      <c r="O1725" s="44"/>
      <c r="P1725" s="44"/>
      <c r="Q1725" s="44"/>
      <c r="R1725" s="44"/>
      <c r="S1725" s="44"/>
      <c r="T1725" s="44"/>
      <c r="U1725" s="44"/>
      <c r="V1725" s="44"/>
      <c r="W1725" s="44"/>
      <c r="X1725" s="44"/>
      <c r="Y1725" s="44"/>
    </row>
    <row r="1726" spans="14:25" ht="15" customHeight="1" x14ac:dyDescent="0.25">
      <c r="N1726" s="44"/>
      <c r="O1726" s="44"/>
      <c r="P1726" s="44"/>
      <c r="Q1726" s="44"/>
      <c r="R1726" s="44"/>
      <c r="S1726" s="44"/>
      <c r="T1726" s="44"/>
      <c r="U1726" s="44"/>
      <c r="V1726" s="44"/>
      <c r="W1726" s="44"/>
      <c r="X1726" s="44"/>
      <c r="Y1726" s="44"/>
    </row>
    <row r="1727" spans="14:25" ht="15" customHeight="1" x14ac:dyDescent="0.25">
      <c r="N1727" s="44"/>
      <c r="O1727" s="44"/>
      <c r="P1727" s="44"/>
      <c r="Q1727" s="44"/>
      <c r="R1727" s="44"/>
      <c r="S1727" s="44"/>
      <c r="T1727" s="44"/>
      <c r="U1727" s="44"/>
      <c r="V1727" s="44"/>
      <c r="W1727" s="44"/>
      <c r="X1727" s="44"/>
      <c r="Y1727" s="44"/>
    </row>
    <row r="1728" spans="14:25" ht="15" customHeight="1" x14ac:dyDescent="0.25">
      <c r="N1728" s="44"/>
      <c r="O1728" s="44"/>
      <c r="P1728" s="44"/>
      <c r="Q1728" s="44"/>
      <c r="R1728" s="44"/>
      <c r="S1728" s="44"/>
      <c r="T1728" s="44"/>
      <c r="U1728" s="44"/>
      <c r="V1728" s="44"/>
      <c r="W1728" s="44"/>
      <c r="X1728" s="44"/>
      <c r="Y1728" s="44"/>
    </row>
    <row r="1729" spans="14:25" ht="15" customHeight="1" x14ac:dyDescent="0.25">
      <c r="N1729" s="44"/>
      <c r="O1729" s="44"/>
      <c r="P1729" s="44"/>
      <c r="Q1729" s="44"/>
      <c r="R1729" s="44"/>
      <c r="S1729" s="44"/>
      <c r="T1729" s="44"/>
      <c r="U1729" s="44"/>
      <c r="V1729" s="44"/>
      <c r="W1729" s="44"/>
      <c r="X1729" s="44"/>
      <c r="Y1729" s="44"/>
    </row>
    <row r="1730" spans="14:25" ht="15" customHeight="1" x14ac:dyDescent="0.25">
      <c r="N1730" s="44"/>
      <c r="O1730" s="44"/>
      <c r="P1730" s="44"/>
      <c r="Q1730" s="44"/>
      <c r="R1730" s="44"/>
      <c r="S1730" s="44"/>
      <c r="T1730" s="44"/>
      <c r="U1730" s="44"/>
      <c r="V1730" s="44"/>
      <c r="W1730" s="44"/>
      <c r="X1730" s="44"/>
      <c r="Y1730" s="44"/>
    </row>
    <row r="1731" spans="14:25" ht="15" customHeight="1" x14ac:dyDescent="0.25">
      <c r="N1731" s="44"/>
      <c r="O1731" s="44"/>
      <c r="P1731" s="44"/>
      <c r="Q1731" s="44"/>
      <c r="R1731" s="44"/>
      <c r="S1731" s="44"/>
      <c r="T1731" s="44"/>
      <c r="U1731" s="44"/>
      <c r="V1731" s="44"/>
      <c r="W1731" s="44"/>
      <c r="X1731" s="44"/>
      <c r="Y1731" s="44"/>
    </row>
    <row r="1732" spans="14:25" ht="15" customHeight="1" x14ac:dyDescent="0.25">
      <c r="N1732" s="44"/>
      <c r="O1732" s="44"/>
      <c r="P1732" s="44"/>
      <c r="Q1732" s="44"/>
      <c r="R1732" s="44"/>
      <c r="S1732" s="44"/>
      <c r="T1732" s="44"/>
      <c r="U1732" s="44"/>
      <c r="V1732" s="44"/>
      <c r="W1732" s="44"/>
      <c r="X1732" s="44"/>
      <c r="Y1732" s="44"/>
    </row>
    <row r="1733" spans="14:25" ht="15" customHeight="1" x14ac:dyDescent="0.25">
      <c r="N1733" s="44"/>
      <c r="O1733" s="44"/>
      <c r="P1733" s="44"/>
      <c r="Q1733" s="44"/>
      <c r="R1733" s="44"/>
      <c r="S1733" s="44"/>
      <c r="T1733" s="44"/>
      <c r="U1733" s="44"/>
      <c r="V1733" s="44"/>
      <c r="W1733" s="44"/>
      <c r="X1733" s="44"/>
      <c r="Y1733" s="44"/>
    </row>
    <row r="1734" spans="14:25" ht="15" customHeight="1" x14ac:dyDescent="0.25">
      <c r="N1734" s="44"/>
      <c r="O1734" s="44"/>
      <c r="P1734" s="44"/>
      <c r="Q1734" s="44"/>
      <c r="R1734" s="44"/>
      <c r="S1734" s="44"/>
      <c r="T1734" s="44"/>
      <c r="U1734" s="44"/>
      <c r="V1734" s="44"/>
      <c r="W1734" s="44"/>
      <c r="X1734" s="44"/>
      <c r="Y1734" s="44"/>
    </row>
    <row r="1735" spans="14:25" ht="15" customHeight="1" x14ac:dyDescent="0.25">
      <c r="N1735" s="44"/>
      <c r="O1735" s="44"/>
      <c r="P1735" s="44"/>
      <c r="Q1735" s="44"/>
      <c r="R1735" s="44"/>
      <c r="S1735" s="44"/>
      <c r="T1735" s="44"/>
      <c r="U1735" s="44"/>
      <c r="V1735" s="44"/>
      <c r="W1735" s="44"/>
      <c r="X1735" s="44"/>
      <c r="Y1735" s="44"/>
    </row>
    <row r="1736" spans="14:25" ht="15" customHeight="1" x14ac:dyDescent="0.25">
      <c r="N1736" s="44"/>
      <c r="O1736" s="44"/>
      <c r="P1736" s="44"/>
      <c r="Q1736" s="44"/>
      <c r="R1736" s="44"/>
      <c r="S1736" s="44"/>
      <c r="T1736" s="44"/>
      <c r="U1736" s="44"/>
      <c r="V1736" s="44"/>
      <c r="W1736" s="44"/>
      <c r="X1736" s="44"/>
      <c r="Y1736" s="44"/>
    </row>
    <row r="1737" spans="14:25" ht="15" customHeight="1" x14ac:dyDescent="0.25">
      <c r="N1737" s="44"/>
      <c r="O1737" s="44"/>
      <c r="P1737" s="44"/>
      <c r="Q1737" s="44"/>
      <c r="R1737" s="44"/>
      <c r="S1737" s="44"/>
      <c r="T1737" s="44"/>
      <c r="U1737" s="44"/>
      <c r="V1737" s="44"/>
      <c r="W1737" s="44"/>
      <c r="X1737" s="44"/>
      <c r="Y1737" s="44"/>
    </row>
    <row r="1738" spans="14:25" ht="15" customHeight="1" x14ac:dyDescent="0.25">
      <c r="N1738" s="44"/>
      <c r="O1738" s="44"/>
      <c r="P1738" s="44"/>
      <c r="Q1738" s="44"/>
      <c r="R1738" s="44"/>
      <c r="S1738" s="44"/>
      <c r="T1738" s="44"/>
      <c r="U1738" s="44"/>
      <c r="V1738" s="44"/>
      <c r="W1738" s="44"/>
      <c r="X1738" s="44"/>
      <c r="Y1738" s="44"/>
    </row>
    <row r="1739" spans="14:25" ht="15" customHeight="1" x14ac:dyDescent="0.25">
      <c r="N1739" s="44"/>
      <c r="O1739" s="44"/>
      <c r="P1739" s="44"/>
      <c r="Q1739" s="44"/>
      <c r="R1739" s="44"/>
      <c r="S1739" s="44"/>
      <c r="T1739" s="44"/>
      <c r="U1739" s="44"/>
      <c r="V1739" s="44"/>
      <c r="W1739" s="44"/>
      <c r="X1739" s="44"/>
      <c r="Y1739" s="44"/>
    </row>
    <row r="1740" spans="14:25" ht="15" customHeight="1" x14ac:dyDescent="0.25">
      <c r="N1740" s="44"/>
      <c r="O1740" s="44"/>
      <c r="P1740" s="44"/>
      <c r="Q1740" s="44"/>
      <c r="R1740" s="44"/>
      <c r="S1740" s="44"/>
      <c r="T1740" s="44"/>
      <c r="U1740" s="44"/>
      <c r="V1740" s="44"/>
      <c r="W1740" s="44"/>
      <c r="X1740" s="44"/>
      <c r="Y1740" s="44"/>
    </row>
    <row r="1741" spans="14:25" ht="15" customHeight="1" x14ac:dyDescent="0.25">
      <c r="N1741" s="44"/>
      <c r="O1741" s="44"/>
      <c r="P1741" s="44"/>
      <c r="Q1741" s="44"/>
      <c r="R1741" s="44"/>
      <c r="S1741" s="44"/>
      <c r="T1741" s="44"/>
      <c r="U1741" s="44"/>
      <c r="V1741" s="44"/>
      <c r="W1741" s="44"/>
      <c r="X1741" s="44"/>
      <c r="Y1741" s="44"/>
    </row>
    <row r="1742" spans="14:25" ht="15" customHeight="1" x14ac:dyDescent="0.25">
      <c r="N1742" s="44"/>
      <c r="O1742" s="44"/>
      <c r="P1742" s="44"/>
      <c r="Q1742" s="44"/>
      <c r="R1742" s="44"/>
      <c r="S1742" s="44"/>
      <c r="T1742" s="44"/>
      <c r="U1742" s="44"/>
      <c r="V1742" s="44"/>
      <c r="W1742" s="44"/>
      <c r="X1742" s="44"/>
      <c r="Y1742" s="44"/>
    </row>
    <row r="1743" spans="14:25" ht="15" customHeight="1" x14ac:dyDescent="0.25">
      <c r="N1743" s="44"/>
      <c r="O1743" s="44"/>
      <c r="P1743" s="44"/>
      <c r="Q1743" s="44"/>
      <c r="R1743" s="44"/>
      <c r="S1743" s="44"/>
      <c r="T1743" s="44"/>
      <c r="U1743" s="44"/>
      <c r="V1743" s="44"/>
      <c r="W1743" s="44"/>
      <c r="X1743" s="44"/>
      <c r="Y1743" s="44"/>
    </row>
    <row r="1744" spans="14:25" ht="15" customHeight="1" x14ac:dyDescent="0.25">
      <c r="N1744" s="44"/>
      <c r="O1744" s="44"/>
      <c r="P1744" s="44"/>
      <c r="Q1744" s="44"/>
      <c r="R1744" s="44"/>
      <c r="S1744" s="44"/>
      <c r="T1744" s="44"/>
      <c r="U1744" s="44"/>
      <c r="V1744" s="44"/>
      <c r="W1744" s="44"/>
      <c r="X1744" s="44"/>
      <c r="Y1744" s="44"/>
    </row>
    <row r="1745" spans="14:25" ht="15" customHeight="1" x14ac:dyDescent="0.25">
      <c r="N1745" s="44"/>
      <c r="O1745" s="44"/>
      <c r="P1745" s="44"/>
      <c r="Q1745" s="44"/>
      <c r="R1745" s="44"/>
      <c r="S1745" s="44"/>
      <c r="T1745" s="44"/>
      <c r="U1745" s="44"/>
      <c r="V1745" s="44"/>
      <c r="W1745" s="44"/>
      <c r="X1745" s="44"/>
      <c r="Y1745" s="44"/>
    </row>
    <row r="1746" spans="14:25" ht="15" customHeight="1" x14ac:dyDescent="0.25">
      <c r="N1746" s="44"/>
      <c r="O1746" s="44"/>
      <c r="P1746" s="44"/>
      <c r="Q1746" s="44"/>
      <c r="R1746" s="44"/>
      <c r="S1746" s="44"/>
      <c r="T1746" s="44"/>
      <c r="U1746" s="44"/>
      <c r="V1746" s="44"/>
      <c r="W1746" s="44"/>
      <c r="X1746" s="44"/>
      <c r="Y1746" s="44"/>
    </row>
    <row r="1747" spans="14:25" ht="15" customHeight="1" x14ac:dyDescent="0.25">
      <c r="N1747" s="44"/>
      <c r="O1747" s="44"/>
      <c r="P1747" s="44"/>
      <c r="Q1747" s="44"/>
      <c r="R1747" s="44"/>
      <c r="S1747" s="44"/>
      <c r="T1747" s="44"/>
      <c r="U1747" s="44"/>
      <c r="V1747" s="44"/>
      <c r="W1747" s="44"/>
      <c r="X1747" s="44"/>
      <c r="Y1747" s="44"/>
    </row>
    <row r="1748" spans="14:25" ht="15" customHeight="1" x14ac:dyDescent="0.25">
      <c r="N1748" s="44"/>
      <c r="O1748" s="44"/>
      <c r="P1748" s="44"/>
      <c r="Q1748" s="44"/>
      <c r="R1748" s="44"/>
      <c r="S1748" s="44"/>
      <c r="T1748" s="44"/>
      <c r="U1748" s="44"/>
      <c r="V1748" s="44"/>
      <c r="W1748" s="44"/>
      <c r="X1748" s="44"/>
      <c r="Y1748" s="44"/>
    </row>
    <row r="1749" spans="14:25" ht="15" customHeight="1" x14ac:dyDescent="0.25">
      <c r="N1749" s="44"/>
      <c r="O1749" s="44"/>
      <c r="P1749" s="44"/>
      <c r="Q1749" s="44"/>
      <c r="R1749" s="44"/>
      <c r="S1749" s="44"/>
      <c r="T1749" s="44"/>
      <c r="U1749" s="44"/>
      <c r="V1749" s="44"/>
      <c r="W1749" s="44"/>
      <c r="X1749" s="44"/>
      <c r="Y1749" s="44"/>
    </row>
    <row r="1750" spans="14:25" ht="15" customHeight="1" x14ac:dyDescent="0.25">
      <c r="N1750" s="44"/>
      <c r="O1750" s="44"/>
      <c r="P1750" s="44"/>
      <c r="Q1750" s="44"/>
      <c r="R1750" s="44"/>
      <c r="S1750" s="44"/>
      <c r="T1750" s="44"/>
      <c r="U1750" s="44"/>
      <c r="V1750" s="44"/>
      <c r="W1750" s="44"/>
      <c r="X1750" s="44"/>
      <c r="Y1750" s="44"/>
    </row>
    <row r="1751" spans="14:25" ht="15" customHeight="1" x14ac:dyDescent="0.25">
      <c r="N1751" s="44"/>
      <c r="O1751" s="44"/>
      <c r="P1751" s="44"/>
      <c r="Q1751" s="44"/>
      <c r="R1751" s="44"/>
      <c r="S1751" s="44"/>
      <c r="T1751" s="44"/>
      <c r="U1751" s="44"/>
      <c r="V1751" s="44"/>
      <c r="W1751" s="44"/>
      <c r="X1751" s="44"/>
      <c r="Y1751" s="44"/>
    </row>
    <row r="1752" spans="14:25" ht="15" customHeight="1" x14ac:dyDescent="0.25">
      <c r="N1752" s="44"/>
      <c r="O1752" s="44"/>
      <c r="P1752" s="44"/>
      <c r="Q1752" s="44"/>
      <c r="R1752" s="44"/>
      <c r="S1752" s="44"/>
      <c r="T1752" s="44"/>
      <c r="U1752" s="44"/>
      <c r="V1752" s="44"/>
      <c r="W1752" s="44"/>
      <c r="X1752" s="44"/>
      <c r="Y1752" s="44"/>
    </row>
    <row r="1753" spans="14:25" ht="15" customHeight="1" x14ac:dyDescent="0.25">
      <c r="N1753" s="44"/>
      <c r="O1753" s="44"/>
      <c r="P1753" s="44"/>
      <c r="Q1753" s="44"/>
      <c r="R1753" s="44"/>
      <c r="S1753" s="44"/>
      <c r="T1753" s="44"/>
      <c r="U1753" s="44"/>
      <c r="V1753" s="44"/>
      <c r="W1753" s="44"/>
      <c r="X1753" s="44"/>
      <c r="Y1753" s="44"/>
    </row>
    <row r="1754" spans="14:25" ht="15" customHeight="1" x14ac:dyDescent="0.25">
      <c r="N1754" s="44"/>
      <c r="O1754" s="44"/>
      <c r="P1754" s="44"/>
      <c r="Q1754" s="44"/>
      <c r="R1754" s="44"/>
      <c r="S1754" s="44"/>
      <c r="T1754" s="44"/>
      <c r="U1754" s="44"/>
      <c r="V1754" s="44"/>
      <c r="W1754" s="44"/>
      <c r="X1754" s="44"/>
      <c r="Y1754" s="44"/>
    </row>
    <row r="1755" spans="14:25" ht="15" customHeight="1" x14ac:dyDescent="0.25">
      <c r="N1755" s="44"/>
      <c r="O1755" s="44"/>
      <c r="P1755" s="44"/>
      <c r="Q1755" s="44"/>
      <c r="R1755" s="44"/>
      <c r="S1755" s="44"/>
      <c r="T1755" s="44"/>
      <c r="U1755" s="44"/>
      <c r="V1755" s="44"/>
      <c r="W1755" s="44"/>
      <c r="X1755" s="44"/>
      <c r="Y1755" s="44"/>
    </row>
    <row r="1756" spans="14:25" ht="15" customHeight="1" x14ac:dyDescent="0.25">
      <c r="N1756" s="44"/>
      <c r="O1756" s="44"/>
      <c r="P1756" s="44"/>
      <c r="Q1756" s="44"/>
      <c r="R1756" s="44"/>
      <c r="S1756" s="44"/>
      <c r="T1756" s="44"/>
      <c r="U1756" s="44"/>
      <c r="V1756" s="44"/>
      <c r="W1756" s="44"/>
      <c r="X1756" s="44"/>
      <c r="Y1756" s="44"/>
    </row>
    <row r="1757" spans="14:25" ht="15" customHeight="1" x14ac:dyDescent="0.25">
      <c r="N1757" s="44"/>
      <c r="O1757" s="44"/>
      <c r="P1757" s="44"/>
      <c r="Q1757" s="44"/>
      <c r="R1757" s="44"/>
      <c r="S1757" s="44"/>
      <c r="T1757" s="44"/>
      <c r="U1757" s="44"/>
      <c r="V1757" s="44"/>
      <c r="W1757" s="44"/>
      <c r="X1757" s="44"/>
      <c r="Y1757" s="44"/>
    </row>
    <row r="1758" spans="14:25" ht="15" customHeight="1" x14ac:dyDescent="0.25">
      <c r="N1758" s="44"/>
      <c r="O1758" s="44"/>
      <c r="P1758" s="44"/>
      <c r="Q1758" s="44"/>
      <c r="R1758" s="44"/>
      <c r="S1758" s="44"/>
      <c r="T1758" s="44"/>
      <c r="U1758" s="44"/>
      <c r="V1758" s="44"/>
      <c r="W1758" s="44"/>
      <c r="X1758" s="44"/>
      <c r="Y1758" s="44"/>
    </row>
    <row r="1759" spans="14:25" ht="15" customHeight="1" x14ac:dyDescent="0.25"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44"/>
      <c r="Y1759" s="44"/>
    </row>
    <row r="1760" spans="14:25" ht="15" customHeight="1" x14ac:dyDescent="0.25">
      <c r="N1760" s="44"/>
      <c r="O1760" s="44"/>
      <c r="P1760" s="44"/>
      <c r="Q1760" s="44"/>
      <c r="R1760" s="44"/>
      <c r="S1760" s="44"/>
      <c r="T1760" s="44"/>
      <c r="U1760" s="44"/>
      <c r="V1760" s="44"/>
      <c r="W1760" s="44"/>
      <c r="X1760" s="44"/>
      <c r="Y1760" s="44"/>
    </row>
    <row r="1761" spans="14:25" ht="15" customHeight="1" x14ac:dyDescent="0.25">
      <c r="N1761" s="44"/>
      <c r="O1761" s="44"/>
      <c r="P1761" s="44"/>
      <c r="Q1761" s="44"/>
      <c r="R1761" s="44"/>
      <c r="S1761" s="44"/>
      <c r="T1761" s="44"/>
      <c r="U1761" s="44"/>
      <c r="V1761" s="44"/>
      <c r="W1761" s="44"/>
      <c r="X1761" s="44"/>
      <c r="Y1761" s="44"/>
    </row>
    <row r="1762" spans="14:25" ht="15" customHeight="1" x14ac:dyDescent="0.25">
      <c r="N1762" s="44"/>
      <c r="O1762" s="44"/>
      <c r="P1762" s="44"/>
      <c r="Q1762" s="44"/>
      <c r="R1762" s="44"/>
      <c r="S1762" s="44"/>
      <c r="T1762" s="44"/>
      <c r="U1762" s="44"/>
      <c r="V1762" s="44"/>
      <c r="W1762" s="44"/>
      <c r="X1762" s="44"/>
      <c r="Y1762" s="44"/>
    </row>
    <row r="1763" spans="14:25" ht="15" customHeight="1" x14ac:dyDescent="0.25">
      <c r="N1763" s="44"/>
      <c r="O1763" s="44"/>
      <c r="P1763" s="44"/>
      <c r="Q1763" s="44"/>
      <c r="R1763" s="44"/>
      <c r="S1763" s="44"/>
      <c r="T1763" s="44"/>
      <c r="U1763" s="44"/>
      <c r="V1763" s="44"/>
      <c r="W1763" s="44"/>
      <c r="X1763" s="44"/>
      <c r="Y1763" s="44"/>
    </row>
    <row r="1764" spans="14:25" ht="15" customHeight="1" x14ac:dyDescent="0.25">
      <c r="N1764" s="44"/>
      <c r="O1764" s="44"/>
      <c r="P1764" s="44"/>
      <c r="Q1764" s="44"/>
      <c r="R1764" s="44"/>
      <c r="S1764" s="44"/>
      <c r="T1764" s="44"/>
      <c r="U1764" s="44"/>
      <c r="V1764" s="44"/>
      <c r="W1764" s="44"/>
      <c r="X1764" s="44"/>
      <c r="Y1764" s="44"/>
    </row>
    <row r="1765" spans="14:25" ht="15" customHeight="1" x14ac:dyDescent="0.25">
      <c r="N1765" s="44"/>
      <c r="O1765" s="44"/>
      <c r="P1765" s="44"/>
      <c r="Q1765" s="44"/>
      <c r="R1765" s="44"/>
      <c r="S1765" s="44"/>
      <c r="T1765" s="44"/>
      <c r="U1765" s="44"/>
      <c r="V1765" s="44"/>
      <c r="W1765" s="44"/>
      <c r="X1765" s="44"/>
      <c r="Y1765" s="44"/>
    </row>
    <row r="1766" spans="14:25" ht="15" customHeight="1" x14ac:dyDescent="0.25">
      <c r="N1766" s="44"/>
      <c r="O1766" s="44"/>
      <c r="P1766" s="44"/>
      <c r="Q1766" s="44"/>
      <c r="R1766" s="44"/>
      <c r="S1766" s="44"/>
      <c r="T1766" s="44"/>
      <c r="U1766" s="44"/>
      <c r="V1766" s="44"/>
      <c r="W1766" s="44"/>
      <c r="X1766" s="44"/>
      <c r="Y1766" s="44"/>
    </row>
    <row r="1767" spans="14:25" ht="15" customHeight="1" x14ac:dyDescent="0.25">
      <c r="N1767" s="44"/>
      <c r="O1767" s="44"/>
      <c r="P1767" s="44"/>
      <c r="Q1767" s="44"/>
      <c r="R1767" s="44"/>
      <c r="S1767" s="44"/>
      <c r="T1767" s="44"/>
      <c r="U1767" s="44"/>
      <c r="V1767" s="44"/>
      <c r="W1767" s="44"/>
      <c r="X1767" s="44"/>
      <c r="Y1767" s="44"/>
    </row>
    <row r="1768" spans="14:25" ht="15" customHeight="1" x14ac:dyDescent="0.25">
      <c r="N1768" s="44"/>
      <c r="O1768" s="44"/>
      <c r="P1768" s="44"/>
      <c r="Q1768" s="44"/>
      <c r="R1768" s="44"/>
      <c r="S1768" s="44"/>
      <c r="T1768" s="44"/>
      <c r="U1768" s="44"/>
      <c r="V1768" s="44"/>
      <c r="W1768" s="44"/>
      <c r="X1768" s="44"/>
      <c r="Y1768" s="44"/>
    </row>
    <row r="1769" spans="14:25" ht="15" customHeight="1" x14ac:dyDescent="0.25">
      <c r="N1769" s="44"/>
      <c r="O1769" s="44"/>
      <c r="P1769" s="44"/>
      <c r="Q1769" s="44"/>
      <c r="R1769" s="44"/>
      <c r="S1769" s="44"/>
      <c r="T1769" s="44"/>
      <c r="U1769" s="44"/>
      <c r="V1769" s="44"/>
      <c r="W1769" s="44"/>
      <c r="X1769" s="44"/>
      <c r="Y1769" s="44"/>
    </row>
    <row r="1770" spans="14:25" ht="15" customHeight="1" x14ac:dyDescent="0.25">
      <c r="N1770" s="44"/>
      <c r="O1770" s="44"/>
      <c r="P1770" s="44"/>
      <c r="Q1770" s="44"/>
      <c r="R1770" s="44"/>
      <c r="S1770" s="44"/>
      <c r="T1770" s="44"/>
      <c r="U1770" s="44"/>
      <c r="V1770" s="44"/>
      <c r="W1770" s="44"/>
      <c r="X1770" s="44"/>
      <c r="Y1770" s="44"/>
    </row>
    <row r="1771" spans="14:25" ht="15" customHeight="1" x14ac:dyDescent="0.25">
      <c r="N1771" s="44"/>
      <c r="O1771" s="44"/>
      <c r="P1771" s="44"/>
      <c r="Q1771" s="44"/>
      <c r="R1771" s="44"/>
      <c r="S1771" s="44"/>
      <c r="T1771" s="44"/>
      <c r="U1771" s="44"/>
      <c r="V1771" s="44"/>
      <c r="W1771" s="44"/>
      <c r="X1771" s="44"/>
      <c r="Y1771" s="44"/>
    </row>
    <row r="1772" spans="14:25" ht="15" customHeight="1" x14ac:dyDescent="0.25">
      <c r="N1772" s="44"/>
      <c r="O1772" s="44"/>
      <c r="P1772" s="44"/>
      <c r="Q1772" s="44"/>
      <c r="R1772" s="44"/>
      <c r="S1772" s="44"/>
      <c r="T1772" s="44"/>
      <c r="U1772" s="44"/>
      <c r="V1772" s="44"/>
      <c r="W1772" s="44"/>
      <c r="X1772" s="44"/>
      <c r="Y1772" s="44"/>
    </row>
    <row r="1773" spans="14:25" ht="15" customHeight="1" x14ac:dyDescent="0.25">
      <c r="N1773" s="44"/>
      <c r="O1773" s="44"/>
      <c r="P1773" s="44"/>
      <c r="Q1773" s="44"/>
      <c r="R1773" s="44"/>
      <c r="S1773" s="44"/>
      <c r="T1773" s="44"/>
      <c r="U1773" s="44"/>
      <c r="V1773" s="44"/>
      <c r="W1773" s="44"/>
      <c r="X1773" s="44"/>
      <c r="Y1773" s="44"/>
    </row>
    <row r="1774" spans="14:25" ht="15" customHeight="1" x14ac:dyDescent="0.25">
      <c r="N1774" s="44"/>
      <c r="O1774" s="44"/>
      <c r="P1774" s="44"/>
      <c r="Q1774" s="44"/>
      <c r="R1774" s="44"/>
      <c r="S1774" s="44"/>
      <c r="T1774" s="44"/>
      <c r="U1774" s="44"/>
      <c r="V1774" s="44"/>
      <c r="W1774" s="44"/>
      <c r="X1774" s="44"/>
      <c r="Y1774" s="44"/>
    </row>
    <row r="1775" spans="14:25" ht="15" customHeight="1" x14ac:dyDescent="0.25">
      <c r="N1775" s="44"/>
      <c r="O1775" s="44"/>
      <c r="P1775" s="44"/>
      <c r="Q1775" s="44"/>
      <c r="R1775" s="44"/>
      <c r="S1775" s="44"/>
      <c r="T1775" s="44"/>
      <c r="U1775" s="44"/>
      <c r="V1775" s="44"/>
      <c r="W1775" s="44"/>
      <c r="X1775" s="44"/>
      <c r="Y1775" s="44"/>
    </row>
    <row r="1776" spans="14:25" ht="15" customHeight="1" x14ac:dyDescent="0.25">
      <c r="N1776" s="44"/>
      <c r="O1776" s="44"/>
      <c r="P1776" s="44"/>
      <c r="Q1776" s="44"/>
      <c r="R1776" s="44"/>
      <c r="S1776" s="44"/>
      <c r="T1776" s="44"/>
      <c r="U1776" s="44"/>
      <c r="V1776" s="44"/>
      <c r="W1776" s="44"/>
      <c r="X1776" s="44"/>
      <c r="Y1776" s="44"/>
    </row>
    <row r="1777" spans="14:25" ht="15" customHeight="1" x14ac:dyDescent="0.25">
      <c r="N1777" s="44"/>
      <c r="O1777" s="44"/>
      <c r="P1777" s="44"/>
      <c r="Q1777" s="44"/>
      <c r="R1777" s="44"/>
      <c r="S1777" s="44"/>
      <c r="T1777" s="44"/>
      <c r="U1777" s="44"/>
      <c r="V1777" s="44"/>
      <c r="W1777" s="44"/>
      <c r="X1777" s="44"/>
      <c r="Y1777" s="44"/>
    </row>
    <row r="1778" spans="14:25" ht="15" customHeight="1" x14ac:dyDescent="0.25">
      <c r="N1778" s="44"/>
      <c r="O1778" s="44"/>
      <c r="P1778" s="44"/>
      <c r="Q1778" s="44"/>
      <c r="R1778" s="44"/>
      <c r="S1778" s="44"/>
      <c r="T1778" s="44"/>
      <c r="U1778" s="44"/>
      <c r="V1778" s="44"/>
      <c r="W1778" s="44"/>
      <c r="X1778" s="44"/>
      <c r="Y1778" s="44"/>
    </row>
    <row r="1779" spans="14:25" ht="15" customHeight="1" x14ac:dyDescent="0.25">
      <c r="N1779" s="44"/>
      <c r="O1779" s="44"/>
      <c r="P1779" s="44"/>
      <c r="Q1779" s="44"/>
      <c r="R1779" s="44"/>
      <c r="S1779" s="44"/>
      <c r="T1779" s="44"/>
      <c r="U1779" s="44"/>
      <c r="V1779" s="44"/>
      <c r="W1779" s="44"/>
      <c r="X1779" s="44"/>
      <c r="Y1779" s="44"/>
    </row>
    <row r="1780" spans="14:25" ht="15" customHeight="1" x14ac:dyDescent="0.25">
      <c r="N1780" s="44"/>
      <c r="O1780" s="44"/>
      <c r="P1780" s="44"/>
      <c r="Q1780" s="44"/>
      <c r="R1780" s="44"/>
      <c r="S1780" s="44"/>
      <c r="T1780" s="44"/>
      <c r="U1780" s="44"/>
      <c r="V1780" s="44"/>
      <c r="W1780" s="44"/>
      <c r="X1780" s="44"/>
      <c r="Y1780" s="44"/>
    </row>
    <row r="1781" spans="14:25" ht="15" customHeight="1" x14ac:dyDescent="0.25">
      <c r="N1781" s="44"/>
      <c r="O1781" s="44"/>
      <c r="P1781" s="44"/>
      <c r="Q1781" s="44"/>
      <c r="R1781" s="44"/>
      <c r="S1781" s="44"/>
      <c r="T1781" s="44"/>
      <c r="U1781" s="44"/>
      <c r="V1781" s="44"/>
      <c r="W1781" s="44"/>
      <c r="X1781" s="44"/>
      <c r="Y1781" s="44"/>
    </row>
    <row r="1782" spans="14:25" ht="15" customHeight="1" x14ac:dyDescent="0.25">
      <c r="N1782" s="44"/>
      <c r="O1782" s="44"/>
      <c r="P1782" s="44"/>
      <c r="Q1782" s="44"/>
      <c r="R1782" s="44"/>
      <c r="S1782" s="44"/>
      <c r="T1782" s="44"/>
      <c r="U1782" s="44"/>
      <c r="V1782" s="44"/>
      <c r="W1782" s="44"/>
      <c r="X1782" s="44"/>
      <c r="Y1782" s="44"/>
    </row>
    <row r="1783" spans="14:25" ht="15" customHeight="1" x14ac:dyDescent="0.25">
      <c r="N1783" s="44"/>
      <c r="O1783" s="44"/>
      <c r="P1783" s="44"/>
      <c r="Q1783" s="44"/>
      <c r="R1783" s="44"/>
      <c r="S1783" s="44"/>
      <c r="T1783" s="44"/>
      <c r="U1783" s="44"/>
      <c r="V1783" s="44"/>
      <c r="W1783" s="44"/>
      <c r="X1783" s="44"/>
      <c r="Y1783" s="44"/>
    </row>
    <row r="1784" spans="14:25" ht="15" customHeight="1" x14ac:dyDescent="0.25">
      <c r="N1784" s="44"/>
      <c r="O1784" s="44"/>
      <c r="P1784" s="44"/>
      <c r="Q1784" s="44"/>
      <c r="R1784" s="44"/>
      <c r="S1784" s="44"/>
      <c r="T1784" s="44"/>
      <c r="U1784" s="44"/>
      <c r="V1784" s="44"/>
      <c r="W1784" s="44"/>
      <c r="X1784" s="44"/>
      <c r="Y1784" s="44"/>
    </row>
    <row r="1785" spans="14:25" ht="15" customHeight="1" x14ac:dyDescent="0.25">
      <c r="N1785" s="44"/>
      <c r="O1785" s="44"/>
      <c r="P1785" s="44"/>
      <c r="Q1785" s="44"/>
      <c r="R1785" s="44"/>
      <c r="S1785" s="44"/>
      <c r="T1785" s="44"/>
      <c r="U1785" s="44"/>
      <c r="V1785" s="44"/>
      <c r="W1785" s="44"/>
      <c r="X1785" s="44"/>
      <c r="Y1785" s="44"/>
    </row>
    <row r="1786" spans="14:25" ht="15" customHeight="1" x14ac:dyDescent="0.25">
      <c r="N1786" s="44"/>
      <c r="O1786" s="44"/>
      <c r="P1786" s="44"/>
      <c r="Q1786" s="44"/>
      <c r="R1786" s="44"/>
      <c r="S1786" s="44"/>
      <c r="T1786" s="44"/>
      <c r="U1786" s="44"/>
      <c r="V1786" s="44"/>
      <c r="W1786" s="44"/>
      <c r="X1786" s="44"/>
      <c r="Y1786" s="44"/>
    </row>
    <row r="1787" spans="14:25" ht="15" customHeight="1" x14ac:dyDescent="0.25">
      <c r="N1787" s="44"/>
      <c r="O1787" s="44"/>
      <c r="P1787" s="44"/>
      <c r="Q1787" s="44"/>
      <c r="R1787" s="44"/>
      <c r="S1787" s="44"/>
      <c r="T1787" s="44"/>
      <c r="U1787" s="44"/>
      <c r="V1787" s="44"/>
      <c r="W1787" s="44"/>
      <c r="X1787" s="44"/>
      <c r="Y1787" s="44"/>
    </row>
    <row r="1788" spans="14:25" ht="15" customHeight="1" x14ac:dyDescent="0.25">
      <c r="N1788" s="44"/>
      <c r="O1788" s="44"/>
      <c r="P1788" s="44"/>
      <c r="Q1788" s="44"/>
      <c r="R1788" s="44"/>
      <c r="S1788" s="44"/>
      <c r="T1788" s="44"/>
      <c r="U1788" s="44"/>
      <c r="V1788" s="44"/>
      <c r="W1788" s="44"/>
      <c r="X1788" s="44"/>
      <c r="Y1788" s="44"/>
    </row>
    <row r="1789" spans="14:25" ht="15" customHeight="1" x14ac:dyDescent="0.25">
      <c r="N1789" s="44"/>
      <c r="O1789" s="44"/>
      <c r="P1789" s="44"/>
      <c r="Q1789" s="44"/>
      <c r="R1789" s="44"/>
      <c r="S1789" s="44"/>
      <c r="T1789" s="44"/>
      <c r="U1789" s="44"/>
      <c r="V1789" s="44"/>
      <c r="W1789" s="44"/>
      <c r="X1789" s="44"/>
      <c r="Y1789" s="44"/>
    </row>
    <row r="1790" spans="14:25" ht="15" customHeight="1" x14ac:dyDescent="0.25">
      <c r="N1790" s="44"/>
      <c r="O1790" s="44"/>
      <c r="P1790" s="44"/>
      <c r="Q1790" s="44"/>
      <c r="R1790" s="44"/>
      <c r="S1790" s="44"/>
      <c r="T1790" s="44"/>
      <c r="U1790" s="44"/>
      <c r="V1790" s="44"/>
      <c r="W1790" s="44"/>
      <c r="X1790" s="44"/>
      <c r="Y1790" s="44"/>
    </row>
    <row r="1791" spans="14:25" ht="15" customHeight="1" x14ac:dyDescent="0.25">
      <c r="N1791" s="44"/>
      <c r="O1791" s="44"/>
      <c r="P1791" s="44"/>
      <c r="Q1791" s="44"/>
      <c r="R1791" s="44"/>
      <c r="S1791" s="44"/>
      <c r="T1791" s="44"/>
      <c r="U1791" s="44"/>
      <c r="V1791" s="44"/>
      <c r="W1791" s="44"/>
      <c r="X1791" s="44"/>
      <c r="Y1791" s="44"/>
    </row>
    <row r="1792" spans="14:25" ht="15" customHeight="1" x14ac:dyDescent="0.25">
      <c r="N1792" s="44"/>
      <c r="O1792" s="44"/>
      <c r="P1792" s="44"/>
      <c r="Q1792" s="44"/>
      <c r="R1792" s="44"/>
      <c r="S1792" s="44"/>
      <c r="T1792" s="44"/>
      <c r="U1792" s="44"/>
      <c r="V1792" s="44"/>
      <c r="W1792" s="44"/>
      <c r="X1792" s="44"/>
      <c r="Y1792" s="44"/>
    </row>
    <row r="1793" spans="14:25" ht="15" customHeight="1" x14ac:dyDescent="0.25">
      <c r="N1793" s="44"/>
      <c r="O1793" s="44"/>
      <c r="P1793" s="44"/>
      <c r="Q1793" s="44"/>
      <c r="R1793" s="44"/>
      <c r="S1793" s="44"/>
      <c r="T1793" s="44"/>
      <c r="U1793" s="44"/>
      <c r="V1793" s="44"/>
      <c r="W1793" s="44"/>
      <c r="X1793" s="44"/>
      <c r="Y1793" s="44"/>
    </row>
    <row r="1794" spans="14:25" ht="15" customHeight="1" x14ac:dyDescent="0.25">
      <c r="N1794" s="44"/>
      <c r="O1794" s="44"/>
      <c r="P1794" s="44"/>
      <c r="Q1794" s="44"/>
      <c r="R1794" s="44"/>
      <c r="S1794" s="44"/>
      <c r="T1794" s="44"/>
      <c r="U1794" s="44"/>
      <c r="V1794" s="44"/>
      <c r="W1794" s="44"/>
      <c r="X1794" s="44"/>
      <c r="Y1794" s="44"/>
    </row>
    <row r="1795" spans="14:25" ht="15" customHeight="1" x14ac:dyDescent="0.25">
      <c r="N1795" s="44"/>
      <c r="O1795" s="44"/>
      <c r="P1795" s="44"/>
      <c r="Q1795" s="44"/>
      <c r="R1795" s="44"/>
      <c r="S1795" s="44"/>
      <c r="T1795" s="44"/>
      <c r="U1795" s="44"/>
      <c r="V1795" s="44"/>
      <c r="W1795" s="44"/>
      <c r="X1795" s="44"/>
      <c r="Y1795" s="44"/>
    </row>
    <row r="1796" spans="14:25" ht="15" customHeight="1" x14ac:dyDescent="0.25">
      <c r="N1796" s="44"/>
      <c r="O1796" s="44"/>
      <c r="P1796" s="44"/>
      <c r="Q1796" s="44"/>
      <c r="R1796" s="44"/>
      <c r="S1796" s="44"/>
      <c r="T1796" s="44"/>
      <c r="U1796" s="44"/>
      <c r="V1796" s="44"/>
      <c r="W1796" s="44"/>
      <c r="X1796" s="44"/>
      <c r="Y1796" s="44"/>
    </row>
    <row r="1797" spans="14:25" ht="15" customHeight="1" x14ac:dyDescent="0.25"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44"/>
      <c r="Y1797" s="44"/>
    </row>
    <row r="1798" spans="14:25" ht="15" customHeight="1" x14ac:dyDescent="0.25">
      <c r="N1798" s="44"/>
      <c r="O1798" s="44"/>
      <c r="P1798" s="44"/>
      <c r="Q1798" s="44"/>
      <c r="R1798" s="44"/>
      <c r="S1798" s="44"/>
      <c r="T1798" s="44"/>
      <c r="U1798" s="44"/>
      <c r="V1798" s="44"/>
      <c r="W1798" s="44"/>
      <c r="X1798" s="44"/>
      <c r="Y1798" s="44"/>
    </row>
    <row r="1799" spans="14:25" ht="15" customHeight="1" x14ac:dyDescent="0.25">
      <c r="N1799" s="44"/>
      <c r="O1799" s="44"/>
      <c r="P1799" s="44"/>
      <c r="Q1799" s="44"/>
      <c r="R1799" s="44"/>
      <c r="S1799" s="44"/>
      <c r="T1799" s="44"/>
      <c r="U1799" s="44"/>
      <c r="V1799" s="44"/>
      <c r="W1799" s="44"/>
      <c r="X1799" s="44"/>
      <c r="Y1799" s="44"/>
    </row>
    <row r="1800" spans="14:25" ht="15" customHeight="1" x14ac:dyDescent="0.25"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44"/>
      <c r="Y1800" s="44"/>
    </row>
    <row r="1801" spans="14:25" ht="15" customHeight="1" x14ac:dyDescent="0.25">
      <c r="N1801" s="44"/>
      <c r="O1801" s="44"/>
      <c r="P1801" s="44"/>
      <c r="Q1801" s="44"/>
      <c r="R1801" s="44"/>
      <c r="S1801" s="44"/>
      <c r="T1801" s="44"/>
      <c r="U1801" s="44"/>
      <c r="V1801" s="44"/>
      <c r="W1801" s="44"/>
      <c r="X1801" s="44"/>
      <c r="Y1801" s="44"/>
    </row>
    <row r="1802" spans="14:25" ht="15" customHeight="1" x14ac:dyDescent="0.25">
      <c r="N1802" s="44"/>
      <c r="O1802" s="44"/>
      <c r="P1802" s="44"/>
      <c r="Q1802" s="44"/>
      <c r="R1802" s="44"/>
      <c r="S1802" s="44"/>
      <c r="T1802" s="44"/>
      <c r="U1802" s="44"/>
      <c r="V1802" s="44"/>
      <c r="W1802" s="44"/>
      <c r="X1802" s="44"/>
      <c r="Y1802" s="44"/>
    </row>
    <row r="1803" spans="14:25" ht="15" customHeight="1" x14ac:dyDescent="0.25">
      <c r="N1803" s="44"/>
      <c r="O1803" s="44"/>
      <c r="P1803" s="44"/>
      <c r="Q1803" s="44"/>
      <c r="R1803" s="44"/>
      <c r="S1803" s="44"/>
      <c r="T1803" s="44"/>
      <c r="U1803" s="44"/>
      <c r="V1803" s="44"/>
      <c r="W1803" s="44"/>
      <c r="X1803" s="44"/>
      <c r="Y1803" s="44"/>
    </row>
    <row r="1804" spans="14:25" ht="15" customHeight="1" x14ac:dyDescent="0.25">
      <c r="N1804" s="44"/>
      <c r="O1804" s="44"/>
      <c r="P1804" s="44"/>
      <c r="Q1804" s="44"/>
      <c r="R1804" s="44"/>
      <c r="S1804" s="44"/>
      <c r="T1804" s="44"/>
      <c r="U1804" s="44"/>
      <c r="V1804" s="44"/>
      <c r="W1804" s="44"/>
      <c r="X1804" s="44"/>
      <c r="Y1804" s="44"/>
    </row>
    <row r="1805" spans="14:25" ht="15" customHeight="1" x14ac:dyDescent="0.25">
      <c r="N1805" s="44"/>
      <c r="O1805" s="44"/>
      <c r="P1805" s="44"/>
      <c r="Q1805" s="44"/>
      <c r="R1805" s="44"/>
      <c r="S1805" s="44"/>
      <c r="T1805" s="44"/>
      <c r="U1805" s="44"/>
      <c r="V1805" s="44"/>
      <c r="W1805" s="44"/>
      <c r="X1805" s="44"/>
      <c r="Y1805" s="44"/>
    </row>
    <row r="1806" spans="14:25" ht="15" customHeight="1" x14ac:dyDescent="0.25">
      <c r="N1806" s="44"/>
      <c r="O1806" s="44"/>
      <c r="P1806" s="44"/>
      <c r="Q1806" s="44"/>
      <c r="R1806" s="44"/>
      <c r="S1806" s="44"/>
      <c r="T1806" s="44"/>
      <c r="U1806" s="44"/>
      <c r="V1806" s="44"/>
      <c r="W1806" s="44"/>
      <c r="X1806" s="44"/>
      <c r="Y1806" s="44"/>
    </row>
    <row r="1807" spans="14:25" ht="15" customHeight="1" x14ac:dyDescent="0.25">
      <c r="N1807" s="44"/>
      <c r="O1807" s="44"/>
      <c r="P1807" s="44"/>
      <c r="Q1807" s="44"/>
      <c r="R1807" s="44"/>
      <c r="S1807" s="44"/>
      <c r="T1807" s="44"/>
      <c r="U1807" s="44"/>
      <c r="V1807" s="44"/>
      <c r="W1807" s="44"/>
      <c r="X1807" s="44"/>
      <c r="Y1807" s="44"/>
    </row>
    <row r="1808" spans="14:25" ht="15" customHeight="1" x14ac:dyDescent="0.25">
      <c r="N1808" s="44"/>
      <c r="O1808" s="44"/>
      <c r="P1808" s="44"/>
      <c r="Q1808" s="44"/>
      <c r="R1808" s="44"/>
      <c r="S1808" s="44"/>
      <c r="T1808" s="44"/>
      <c r="U1808" s="44"/>
      <c r="V1808" s="44"/>
      <c r="W1808" s="44"/>
      <c r="X1808" s="44"/>
      <c r="Y1808" s="44"/>
    </row>
    <row r="1809" spans="14:25" ht="15" customHeight="1" x14ac:dyDescent="0.25">
      <c r="N1809" s="44"/>
      <c r="O1809" s="44"/>
      <c r="P1809" s="44"/>
      <c r="Q1809" s="44"/>
      <c r="R1809" s="44"/>
      <c r="S1809" s="44"/>
      <c r="T1809" s="44"/>
      <c r="U1809" s="44"/>
      <c r="V1809" s="44"/>
      <c r="W1809" s="44"/>
      <c r="X1809" s="44"/>
      <c r="Y1809" s="44"/>
    </row>
    <row r="1810" spans="14:25" ht="15" customHeight="1" x14ac:dyDescent="0.25">
      <c r="N1810" s="44"/>
      <c r="O1810" s="44"/>
      <c r="P1810" s="44"/>
      <c r="Q1810" s="44"/>
      <c r="R1810" s="44"/>
      <c r="S1810" s="44"/>
      <c r="T1810" s="44"/>
      <c r="U1810" s="44"/>
      <c r="V1810" s="44"/>
      <c r="W1810" s="44"/>
      <c r="X1810" s="44"/>
      <c r="Y1810" s="44"/>
    </row>
    <row r="1811" spans="14:25" ht="15" customHeight="1" x14ac:dyDescent="0.25">
      <c r="N1811" s="44"/>
      <c r="O1811" s="44"/>
      <c r="P1811" s="44"/>
      <c r="Q1811" s="44"/>
      <c r="R1811" s="44"/>
      <c r="S1811" s="44"/>
      <c r="T1811" s="44"/>
      <c r="U1811" s="44"/>
      <c r="V1811" s="44"/>
      <c r="W1811" s="44"/>
      <c r="X1811" s="44"/>
      <c r="Y1811" s="44"/>
    </row>
    <row r="1812" spans="14:25" ht="15" customHeight="1" x14ac:dyDescent="0.25">
      <c r="N1812" s="44"/>
      <c r="O1812" s="44"/>
      <c r="P1812" s="44"/>
      <c r="Q1812" s="44"/>
      <c r="R1812" s="44"/>
      <c r="S1812" s="44"/>
      <c r="T1812" s="44"/>
      <c r="U1812" s="44"/>
      <c r="V1812" s="44"/>
      <c r="W1812" s="44"/>
      <c r="X1812" s="44"/>
      <c r="Y1812" s="44"/>
    </row>
    <row r="1813" spans="14:25" ht="15" customHeight="1" x14ac:dyDescent="0.25">
      <c r="N1813" s="44"/>
      <c r="O1813" s="44"/>
      <c r="P1813" s="44"/>
      <c r="Q1813" s="44"/>
      <c r="R1813" s="44"/>
      <c r="S1813" s="44"/>
      <c r="T1813" s="44"/>
      <c r="U1813" s="44"/>
      <c r="V1813" s="44"/>
      <c r="W1813" s="44"/>
      <c r="X1813" s="44"/>
      <c r="Y1813" s="44"/>
    </row>
    <row r="1814" spans="14:25" ht="15" customHeight="1" x14ac:dyDescent="0.25">
      <c r="N1814" s="44"/>
      <c r="O1814" s="44"/>
      <c r="P1814" s="44"/>
      <c r="Q1814" s="44"/>
      <c r="R1814" s="44"/>
      <c r="S1814" s="44"/>
      <c r="T1814" s="44"/>
      <c r="U1814" s="44"/>
      <c r="V1814" s="44"/>
      <c r="W1814" s="44"/>
      <c r="X1814" s="44"/>
      <c r="Y1814" s="44"/>
    </row>
    <row r="1815" spans="14:25" ht="15" customHeight="1" x14ac:dyDescent="0.25">
      <c r="N1815" s="44"/>
      <c r="O1815" s="44"/>
      <c r="P1815" s="44"/>
      <c r="Q1815" s="44"/>
      <c r="R1815" s="44"/>
      <c r="S1815" s="44"/>
      <c r="T1815" s="44"/>
      <c r="U1815" s="44"/>
      <c r="V1815" s="44"/>
      <c r="W1815" s="44"/>
      <c r="X1815" s="44"/>
      <c r="Y1815" s="44"/>
    </row>
    <row r="1816" spans="14:25" ht="15" customHeight="1" x14ac:dyDescent="0.25">
      <c r="N1816" s="44"/>
      <c r="O1816" s="44"/>
      <c r="P1816" s="44"/>
      <c r="Q1816" s="44"/>
      <c r="R1816" s="44"/>
      <c r="S1816" s="44"/>
      <c r="T1816" s="44"/>
      <c r="U1816" s="44"/>
      <c r="V1816" s="44"/>
      <c r="W1816" s="44"/>
      <c r="X1816" s="44"/>
      <c r="Y1816" s="44"/>
    </row>
    <row r="1817" spans="14:25" ht="15" customHeight="1" x14ac:dyDescent="0.25">
      <c r="N1817" s="44"/>
      <c r="O1817" s="44"/>
      <c r="P1817" s="44"/>
      <c r="Q1817" s="44"/>
      <c r="R1817" s="44"/>
      <c r="S1817" s="44"/>
      <c r="T1817" s="44"/>
      <c r="U1817" s="44"/>
      <c r="V1817" s="44"/>
      <c r="W1817" s="44"/>
      <c r="X1817" s="44"/>
      <c r="Y1817" s="44"/>
    </row>
    <row r="1818" spans="14:25" ht="15" customHeight="1" x14ac:dyDescent="0.25">
      <c r="N1818" s="44"/>
      <c r="O1818" s="44"/>
      <c r="P1818" s="44"/>
      <c r="Q1818" s="44"/>
      <c r="R1818" s="44"/>
      <c r="S1818" s="44"/>
      <c r="T1818" s="44"/>
      <c r="U1818" s="44"/>
      <c r="V1818" s="44"/>
      <c r="W1818" s="44"/>
      <c r="X1818" s="44"/>
      <c r="Y1818" s="44"/>
    </row>
    <row r="1819" spans="14:25" ht="15" customHeight="1" x14ac:dyDescent="0.25">
      <c r="N1819" s="44"/>
      <c r="O1819" s="44"/>
      <c r="P1819" s="44"/>
      <c r="Q1819" s="44"/>
      <c r="R1819" s="44"/>
      <c r="S1819" s="44"/>
      <c r="T1819" s="44"/>
      <c r="U1819" s="44"/>
      <c r="V1819" s="44"/>
      <c r="W1819" s="44"/>
      <c r="X1819" s="44"/>
      <c r="Y1819" s="44"/>
    </row>
    <row r="1820" spans="14:25" ht="15" customHeight="1" x14ac:dyDescent="0.25">
      <c r="N1820" s="44"/>
      <c r="O1820" s="44"/>
      <c r="P1820" s="44"/>
      <c r="Q1820" s="44"/>
      <c r="R1820" s="44"/>
      <c r="S1820" s="44"/>
      <c r="T1820" s="44"/>
      <c r="U1820" s="44"/>
      <c r="V1820" s="44"/>
      <c r="W1820" s="44"/>
      <c r="X1820" s="44"/>
      <c r="Y1820" s="44"/>
    </row>
    <row r="1821" spans="14:25" ht="15" customHeight="1" x14ac:dyDescent="0.25">
      <c r="N1821" s="44"/>
      <c r="O1821" s="44"/>
      <c r="P1821" s="44"/>
      <c r="Q1821" s="44"/>
      <c r="R1821" s="44"/>
      <c r="S1821" s="44"/>
      <c r="T1821" s="44"/>
      <c r="U1821" s="44"/>
      <c r="V1821" s="44"/>
      <c r="W1821" s="44"/>
      <c r="X1821" s="44"/>
      <c r="Y1821" s="44"/>
    </row>
    <row r="1822" spans="14:25" ht="15" customHeight="1" x14ac:dyDescent="0.25">
      <c r="N1822" s="44"/>
      <c r="O1822" s="44"/>
      <c r="P1822" s="44"/>
      <c r="Q1822" s="44"/>
      <c r="R1822" s="44"/>
      <c r="S1822" s="44"/>
      <c r="T1822" s="44"/>
      <c r="U1822" s="44"/>
      <c r="V1822" s="44"/>
      <c r="W1822" s="44"/>
      <c r="X1822" s="44"/>
      <c r="Y1822" s="44"/>
    </row>
    <row r="1823" spans="14:25" ht="15" customHeight="1" x14ac:dyDescent="0.25">
      <c r="N1823" s="44"/>
      <c r="O1823" s="44"/>
      <c r="P1823" s="44"/>
      <c r="Q1823" s="44"/>
      <c r="R1823" s="44"/>
      <c r="S1823" s="44"/>
      <c r="T1823" s="44"/>
      <c r="U1823" s="44"/>
      <c r="V1823" s="44"/>
      <c r="W1823" s="44"/>
      <c r="X1823" s="44"/>
      <c r="Y1823" s="44"/>
    </row>
    <row r="1824" spans="14:25" ht="15" customHeight="1" x14ac:dyDescent="0.25">
      <c r="N1824" s="44"/>
      <c r="O1824" s="44"/>
      <c r="P1824" s="44"/>
      <c r="Q1824" s="44"/>
      <c r="R1824" s="44"/>
      <c r="S1824" s="44"/>
      <c r="T1824" s="44"/>
      <c r="U1824" s="44"/>
      <c r="V1824" s="44"/>
      <c r="W1824" s="44"/>
      <c r="X1824" s="44"/>
      <c r="Y1824" s="44"/>
    </row>
    <row r="1825" spans="14:25" ht="15" customHeight="1" x14ac:dyDescent="0.25">
      <c r="N1825" s="44"/>
      <c r="O1825" s="44"/>
      <c r="P1825" s="44"/>
      <c r="Q1825" s="44"/>
      <c r="R1825" s="44"/>
      <c r="S1825" s="44"/>
      <c r="T1825" s="44"/>
      <c r="U1825" s="44"/>
      <c r="V1825" s="44"/>
      <c r="W1825" s="44"/>
      <c r="X1825" s="44"/>
      <c r="Y1825" s="44"/>
    </row>
    <row r="1826" spans="14:25" ht="15" customHeight="1" x14ac:dyDescent="0.25">
      <c r="N1826" s="44"/>
      <c r="O1826" s="44"/>
      <c r="P1826" s="44"/>
      <c r="Q1826" s="44"/>
      <c r="R1826" s="44"/>
      <c r="S1826" s="44"/>
      <c r="T1826" s="44"/>
      <c r="U1826" s="44"/>
      <c r="V1826" s="44"/>
      <c r="W1826" s="44"/>
      <c r="X1826" s="44"/>
      <c r="Y1826" s="44"/>
    </row>
    <row r="1827" spans="14:25" ht="15" customHeight="1" x14ac:dyDescent="0.25">
      <c r="N1827" s="44"/>
      <c r="O1827" s="44"/>
      <c r="P1827" s="44"/>
      <c r="Q1827" s="44"/>
      <c r="R1827" s="44"/>
      <c r="S1827" s="44"/>
      <c r="T1827" s="44"/>
      <c r="U1827" s="44"/>
      <c r="V1827" s="44"/>
      <c r="W1827" s="44"/>
      <c r="X1827" s="44"/>
      <c r="Y1827" s="44"/>
    </row>
    <row r="1828" spans="14:25" ht="15" customHeight="1" x14ac:dyDescent="0.25">
      <c r="N1828" s="44"/>
      <c r="O1828" s="44"/>
      <c r="P1828" s="44"/>
      <c r="Q1828" s="44"/>
      <c r="R1828" s="44"/>
      <c r="S1828" s="44"/>
      <c r="T1828" s="44"/>
      <c r="U1828" s="44"/>
      <c r="V1828" s="44"/>
      <c r="W1828" s="44"/>
      <c r="X1828" s="44"/>
      <c r="Y1828" s="44"/>
    </row>
    <row r="1829" spans="14:25" ht="15" customHeight="1" x14ac:dyDescent="0.25"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44"/>
      <c r="Y1829" s="44"/>
    </row>
    <row r="1830" spans="14:25" ht="15" customHeight="1" x14ac:dyDescent="0.25">
      <c r="N1830" s="44"/>
      <c r="O1830" s="44"/>
      <c r="P1830" s="44"/>
      <c r="Q1830" s="44"/>
      <c r="R1830" s="44"/>
      <c r="S1830" s="44"/>
      <c r="T1830" s="44"/>
      <c r="U1830" s="44"/>
      <c r="V1830" s="44"/>
      <c r="W1830" s="44"/>
      <c r="X1830" s="44"/>
      <c r="Y1830" s="44"/>
    </row>
    <row r="1831" spans="14:25" ht="15" customHeight="1" x14ac:dyDescent="0.25">
      <c r="N1831" s="44"/>
      <c r="O1831" s="44"/>
      <c r="P1831" s="44"/>
      <c r="Q1831" s="44"/>
      <c r="R1831" s="44"/>
      <c r="S1831" s="44"/>
      <c r="T1831" s="44"/>
      <c r="U1831" s="44"/>
      <c r="V1831" s="44"/>
      <c r="W1831" s="44"/>
      <c r="X1831" s="44"/>
      <c r="Y1831" s="44"/>
    </row>
    <row r="1832" spans="14:25" ht="15" customHeight="1" x14ac:dyDescent="0.25"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44"/>
      <c r="Y1832" s="44"/>
    </row>
    <row r="1833" spans="14:25" ht="15" customHeight="1" x14ac:dyDescent="0.25">
      <c r="N1833" s="44"/>
      <c r="O1833" s="44"/>
      <c r="P1833" s="44"/>
      <c r="Q1833" s="44"/>
      <c r="R1833" s="44"/>
      <c r="S1833" s="44"/>
      <c r="T1833" s="44"/>
      <c r="U1833" s="44"/>
      <c r="V1833" s="44"/>
      <c r="W1833" s="44"/>
      <c r="X1833" s="44"/>
      <c r="Y1833" s="44"/>
    </row>
    <row r="1834" spans="14:25" ht="15" customHeight="1" x14ac:dyDescent="0.25">
      <c r="N1834" s="44"/>
      <c r="O1834" s="44"/>
      <c r="P1834" s="44"/>
      <c r="Q1834" s="44"/>
      <c r="R1834" s="44"/>
      <c r="S1834" s="44"/>
      <c r="T1834" s="44"/>
      <c r="U1834" s="44"/>
      <c r="V1834" s="44"/>
      <c r="W1834" s="44"/>
      <c r="X1834" s="44"/>
      <c r="Y1834" s="44"/>
    </row>
    <row r="1835" spans="14:25" ht="15" customHeight="1" x14ac:dyDescent="0.25"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44"/>
      <c r="Y1835" s="44"/>
    </row>
    <row r="1836" spans="14:25" ht="15" customHeight="1" x14ac:dyDescent="0.25">
      <c r="N1836" s="44"/>
      <c r="O1836" s="44"/>
      <c r="P1836" s="44"/>
      <c r="Q1836" s="44"/>
      <c r="R1836" s="44"/>
      <c r="S1836" s="44"/>
      <c r="T1836" s="44"/>
      <c r="U1836" s="44"/>
      <c r="V1836" s="44"/>
      <c r="W1836" s="44"/>
      <c r="X1836" s="44"/>
      <c r="Y1836" s="44"/>
    </row>
    <row r="1837" spans="14:25" ht="15" customHeight="1" x14ac:dyDescent="0.25">
      <c r="N1837" s="44"/>
      <c r="O1837" s="44"/>
      <c r="P1837" s="44"/>
      <c r="Q1837" s="44"/>
      <c r="R1837" s="44"/>
      <c r="S1837" s="44"/>
      <c r="T1837" s="44"/>
      <c r="U1837" s="44"/>
      <c r="V1837" s="44"/>
      <c r="W1837" s="44"/>
      <c r="X1837" s="44"/>
      <c r="Y1837" s="44"/>
    </row>
    <row r="1838" spans="14:25" ht="15" customHeight="1" x14ac:dyDescent="0.25"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44"/>
      <c r="Y1838" s="44"/>
    </row>
    <row r="1839" spans="14:25" ht="15" customHeight="1" x14ac:dyDescent="0.25">
      <c r="N1839" s="44"/>
      <c r="O1839" s="44"/>
      <c r="P1839" s="44"/>
      <c r="Q1839" s="44"/>
      <c r="R1839" s="44"/>
      <c r="S1839" s="44"/>
      <c r="T1839" s="44"/>
      <c r="U1839" s="44"/>
      <c r="V1839" s="44"/>
      <c r="W1839" s="44"/>
      <c r="X1839" s="44"/>
      <c r="Y1839" s="44"/>
    </row>
    <row r="1840" spans="14:25" ht="15" customHeight="1" x14ac:dyDescent="0.25">
      <c r="N1840" s="44"/>
      <c r="O1840" s="44"/>
      <c r="P1840" s="44"/>
      <c r="Q1840" s="44"/>
      <c r="R1840" s="44"/>
      <c r="S1840" s="44"/>
      <c r="T1840" s="44"/>
      <c r="U1840" s="44"/>
      <c r="V1840" s="44"/>
      <c r="W1840" s="44"/>
      <c r="X1840" s="44"/>
      <c r="Y1840" s="44"/>
    </row>
    <row r="1841" spans="14:25" ht="15" customHeight="1" x14ac:dyDescent="0.25">
      <c r="N1841" s="44"/>
      <c r="O1841" s="44"/>
      <c r="P1841" s="44"/>
      <c r="Q1841" s="44"/>
      <c r="R1841" s="44"/>
      <c r="S1841" s="44"/>
      <c r="T1841" s="44"/>
      <c r="U1841" s="44"/>
      <c r="V1841" s="44"/>
      <c r="W1841" s="44"/>
      <c r="X1841" s="44"/>
      <c r="Y1841" s="44"/>
    </row>
    <row r="1842" spans="14:25" ht="15" customHeight="1" x14ac:dyDescent="0.25">
      <c r="N1842" s="44"/>
      <c r="O1842" s="44"/>
      <c r="P1842" s="44"/>
      <c r="Q1842" s="44"/>
      <c r="R1842" s="44"/>
      <c r="S1842" s="44"/>
      <c r="T1842" s="44"/>
      <c r="U1842" s="44"/>
      <c r="V1842" s="44"/>
      <c r="W1842" s="44"/>
      <c r="X1842" s="44"/>
      <c r="Y1842" s="44"/>
    </row>
    <row r="1843" spans="14:25" ht="15" customHeight="1" x14ac:dyDescent="0.25">
      <c r="N1843" s="44"/>
      <c r="O1843" s="44"/>
      <c r="P1843" s="44"/>
      <c r="Q1843" s="44"/>
      <c r="R1843" s="44"/>
      <c r="S1843" s="44"/>
      <c r="T1843" s="44"/>
      <c r="U1843" s="44"/>
      <c r="V1843" s="44"/>
      <c r="W1843" s="44"/>
      <c r="X1843" s="44"/>
      <c r="Y1843" s="44"/>
    </row>
    <row r="1844" spans="14:25" ht="15" customHeight="1" x14ac:dyDescent="0.25">
      <c r="N1844" s="44"/>
      <c r="O1844" s="44"/>
      <c r="P1844" s="44"/>
      <c r="Q1844" s="44"/>
      <c r="R1844" s="44"/>
      <c r="S1844" s="44"/>
      <c r="T1844" s="44"/>
      <c r="U1844" s="44"/>
      <c r="V1844" s="44"/>
      <c r="W1844" s="44"/>
      <c r="X1844" s="44"/>
      <c r="Y1844" s="44"/>
    </row>
    <row r="1845" spans="14:25" ht="15" customHeight="1" x14ac:dyDescent="0.25">
      <c r="N1845" s="44"/>
      <c r="O1845" s="44"/>
      <c r="P1845" s="44"/>
      <c r="Q1845" s="44"/>
      <c r="R1845" s="44"/>
      <c r="S1845" s="44"/>
      <c r="T1845" s="44"/>
      <c r="U1845" s="44"/>
      <c r="V1845" s="44"/>
      <c r="W1845" s="44"/>
      <c r="X1845" s="44"/>
      <c r="Y1845" s="44"/>
    </row>
    <row r="1846" spans="14:25" ht="15" customHeight="1" x14ac:dyDescent="0.25">
      <c r="N1846" s="44"/>
      <c r="O1846" s="44"/>
      <c r="P1846" s="44"/>
      <c r="Q1846" s="44"/>
      <c r="R1846" s="44"/>
      <c r="S1846" s="44"/>
      <c r="T1846" s="44"/>
      <c r="U1846" s="44"/>
      <c r="V1846" s="44"/>
      <c r="W1846" s="44"/>
      <c r="X1846" s="44"/>
      <c r="Y1846" s="44"/>
    </row>
    <row r="1847" spans="14:25" ht="15" customHeight="1" x14ac:dyDescent="0.25">
      <c r="N1847" s="44"/>
      <c r="O1847" s="44"/>
      <c r="P1847" s="44"/>
      <c r="Q1847" s="44"/>
      <c r="R1847" s="44"/>
      <c r="S1847" s="44"/>
      <c r="T1847" s="44"/>
      <c r="U1847" s="44"/>
      <c r="V1847" s="44"/>
      <c r="W1847" s="44"/>
      <c r="X1847" s="44"/>
      <c r="Y1847" s="44"/>
    </row>
    <row r="1848" spans="14:25" ht="15" customHeight="1" x14ac:dyDescent="0.25">
      <c r="N1848" s="44"/>
      <c r="O1848" s="44"/>
      <c r="P1848" s="44"/>
      <c r="Q1848" s="44"/>
      <c r="R1848" s="44"/>
      <c r="S1848" s="44"/>
      <c r="T1848" s="44"/>
      <c r="U1848" s="44"/>
      <c r="V1848" s="44"/>
      <c r="W1848" s="44"/>
      <c r="X1848" s="44"/>
      <c r="Y1848" s="44"/>
    </row>
    <row r="1849" spans="14:25" ht="15" customHeight="1" x14ac:dyDescent="0.25">
      <c r="N1849" s="44"/>
      <c r="O1849" s="44"/>
      <c r="P1849" s="44"/>
      <c r="Q1849" s="44"/>
      <c r="R1849" s="44"/>
      <c r="S1849" s="44"/>
      <c r="T1849" s="44"/>
      <c r="U1849" s="44"/>
      <c r="V1849" s="44"/>
      <c r="W1849" s="44"/>
      <c r="X1849" s="44"/>
      <c r="Y1849" s="44"/>
    </row>
    <row r="1850" spans="14:25" ht="15" customHeight="1" x14ac:dyDescent="0.25">
      <c r="N1850" s="44"/>
      <c r="O1850" s="44"/>
      <c r="P1850" s="44"/>
      <c r="Q1850" s="44"/>
      <c r="R1850" s="44"/>
      <c r="S1850" s="44"/>
      <c r="T1850" s="44"/>
      <c r="U1850" s="44"/>
      <c r="V1850" s="44"/>
      <c r="W1850" s="44"/>
      <c r="X1850" s="44"/>
      <c r="Y1850" s="44"/>
    </row>
    <row r="1851" spans="14:25" ht="15" customHeight="1" x14ac:dyDescent="0.25">
      <c r="N1851" s="44"/>
      <c r="O1851" s="44"/>
      <c r="P1851" s="44"/>
      <c r="Q1851" s="44"/>
      <c r="R1851" s="44"/>
      <c r="S1851" s="44"/>
      <c r="T1851" s="44"/>
      <c r="U1851" s="44"/>
      <c r="V1851" s="44"/>
      <c r="W1851" s="44"/>
      <c r="X1851" s="44"/>
      <c r="Y1851" s="44"/>
    </row>
    <row r="1852" spans="14:25" ht="15" customHeight="1" x14ac:dyDescent="0.25">
      <c r="N1852" s="44"/>
      <c r="O1852" s="44"/>
      <c r="P1852" s="44"/>
      <c r="Q1852" s="44"/>
      <c r="R1852" s="44"/>
      <c r="S1852" s="44"/>
      <c r="T1852" s="44"/>
      <c r="U1852" s="44"/>
      <c r="V1852" s="44"/>
      <c r="W1852" s="44"/>
      <c r="X1852" s="44"/>
      <c r="Y1852" s="44"/>
    </row>
    <row r="1853" spans="14:25" ht="15" customHeight="1" x14ac:dyDescent="0.25">
      <c r="N1853" s="44"/>
      <c r="O1853" s="44"/>
      <c r="P1853" s="44"/>
      <c r="Q1853" s="44"/>
      <c r="R1853" s="44"/>
      <c r="S1853" s="44"/>
      <c r="T1853" s="44"/>
      <c r="U1853" s="44"/>
      <c r="V1853" s="44"/>
      <c r="W1853" s="44"/>
      <c r="X1853" s="44"/>
      <c r="Y1853" s="44"/>
    </row>
    <row r="1854" spans="14:25" ht="15" customHeight="1" x14ac:dyDescent="0.25">
      <c r="N1854" s="44"/>
      <c r="O1854" s="44"/>
      <c r="P1854" s="44"/>
      <c r="Q1854" s="44"/>
      <c r="R1854" s="44"/>
      <c r="S1854" s="44"/>
      <c r="T1854" s="44"/>
      <c r="U1854" s="44"/>
      <c r="V1854" s="44"/>
      <c r="W1854" s="44"/>
      <c r="X1854" s="44"/>
      <c r="Y1854" s="44"/>
    </row>
    <row r="1855" spans="14:25" ht="15" customHeight="1" x14ac:dyDescent="0.25">
      <c r="N1855" s="44"/>
      <c r="O1855" s="44"/>
      <c r="P1855" s="44"/>
      <c r="Q1855" s="44"/>
      <c r="R1855" s="44"/>
      <c r="S1855" s="44"/>
      <c r="T1855" s="44"/>
      <c r="U1855" s="44"/>
      <c r="V1855" s="44"/>
      <c r="W1855" s="44"/>
      <c r="X1855" s="44"/>
      <c r="Y1855" s="44"/>
    </row>
    <row r="1856" spans="14:25" ht="15" customHeight="1" x14ac:dyDescent="0.25">
      <c r="N1856" s="44"/>
      <c r="O1856" s="44"/>
      <c r="P1856" s="44"/>
      <c r="Q1856" s="44"/>
      <c r="R1856" s="44"/>
      <c r="S1856" s="44"/>
      <c r="T1856" s="44"/>
      <c r="U1856" s="44"/>
      <c r="V1856" s="44"/>
      <c r="W1856" s="44"/>
      <c r="X1856" s="44"/>
      <c r="Y1856" s="44"/>
    </row>
    <row r="1857" spans="14:25" ht="15" customHeight="1" x14ac:dyDescent="0.25">
      <c r="N1857" s="44"/>
      <c r="O1857" s="44"/>
      <c r="P1857" s="44"/>
      <c r="Q1857" s="44"/>
      <c r="R1857" s="44"/>
      <c r="S1857" s="44"/>
      <c r="T1857" s="44"/>
      <c r="U1857" s="44"/>
      <c r="V1857" s="44"/>
      <c r="W1857" s="44"/>
      <c r="X1857" s="44"/>
      <c r="Y1857" s="44"/>
    </row>
    <row r="1858" spans="14:25" ht="15" customHeight="1" x14ac:dyDescent="0.25">
      <c r="N1858" s="44"/>
      <c r="O1858" s="44"/>
      <c r="P1858" s="44"/>
      <c r="Q1858" s="44"/>
      <c r="R1858" s="44"/>
      <c r="S1858" s="44"/>
      <c r="T1858" s="44"/>
      <c r="U1858" s="44"/>
      <c r="V1858" s="44"/>
      <c r="W1858" s="44"/>
      <c r="X1858" s="44"/>
      <c r="Y1858" s="44"/>
    </row>
    <row r="1859" spans="14:25" ht="15" customHeight="1" x14ac:dyDescent="0.25">
      <c r="N1859" s="44"/>
      <c r="O1859" s="44"/>
      <c r="P1859" s="44"/>
      <c r="Q1859" s="44"/>
      <c r="R1859" s="44"/>
      <c r="S1859" s="44"/>
      <c r="T1859" s="44"/>
      <c r="U1859" s="44"/>
      <c r="V1859" s="44"/>
      <c r="W1859" s="44"/>
      <c r="X1859" s="44"/>
      <c r="Y1859" s="44"/>
    </row>
    <row r="1860" spans="14:25" ht="15" customHeight="1" x14ac:dyDescent="0.25">
      <c r="N1860" s="44"/>
      <c r="O1860" s="44"/>
      <c r="P1860" s="44"/>
      <c r="Q1860" s="44"/>
      <c r="R1860" s="44"/>
      <c r="S1860" s="44"/>
      <c r="T1860" s="44"/>
      <c r="U1860" s="44"/>
      <c r="V1860" s="44"/>
      <c r="W1860" s="44"/>
      <c r="X1860" s="44"/>
      <c r="Y1860" s="44"/>
    </row>
    <row r="1861" spans="14:25" ht="15" customHeight="1" x14ac:dyDescent="0.25">
      <c r="N1861" s="44"/>
      <c r="O1861" s="44"/>
      <c r="P1861" s="44"/>
      <c r="Q1861" s="44"/>
      <c r="R1861" s="44"/>
      <c r="S1861" s="44"/>
      <c r="T1861" s="44"/>
      <c r="U1861" s="44"/>
      <c r="V1861" s="44"/>
      <c r="W1861" s="44"/>
      <c r="X1861" s="44"/>
      <c r="Y1861" s="44"/>
    </row>
    <row r="1862" spans="14:25" ht="15" customHeight="1" x14ac:dyDescent="0.25">
      <c r="N1862" s="44"/>
      <c r="O1862" s="44"/>
      <c r="P1862" s="44"/>
      <c r="Q1862" s="44"/>
      <c r="R1862" s="44"/>
      <c r="S1862" s="44"/>
      <c r="T1862" s="44"/>
      <c r="U1862" s="44"/>
      <c r="V1862" s="44"/>
      <c r="W1862" s="44"/>
      <c r="X1862" s="44"/>
      <c r="Y1862" s="44"/>
    </row>
    <row r="1863" spans="14:25" ht="15" customHeight="1" x14ac:dyDescent="0.25">
      <c r="N1863" s="44"/>
      <c r="O1863" s="44"/>
      <c r="P1863" s="44"/>
      <c r="Q1863" s="44"/>
      <c r="R1863" s="44"/>
      <c r="S1863" s="44"/>
      <c r="T1863" s="44"/>
      <c r="U1863" s="44"/>
      <c r="V1863" s="44"/>
      <c r="W1863" s="44"/>
      <c r="X1863" s="44"/>
      <c r="Y1863" s="44"/>
    </row>
    <row r="1864" spans="14:25" ht="15" customHeight="1" x14ac:dyDescent="0.25">
      <c r="N1864" s="44"/>
      <c r="O1864" s="44"/>
      <c r="P1864" s="44"/>
      <c r="Q1864" s="44"/>
      <c r="R1864" s="44"/>
      <c r="S1864" s="44"/>
      <c r="T1864" s="44"/>
      <c r="U1864" s="44"/>
      <c r="V1864" s="44"/>
      <c r="W1864" s="44"/>
      <c r="X1864" s="44"/>
      <c r="Y1864" s="44"/>
    </row>
    <row r="1865" spans="14:25" ht="15" customHeight="1" x14ac:dyDescent="0.25">
      <c r="N1865" s="44"/>
      <c r="O1865" s="44"/>
      <c r="P1865" s="44"/>
      <c r="Q1865" s="44"/>
      <c r="R1865" s="44"/>
      <c r="S1865" s="44"/>
      <c r="T1865" s="44"/>
      <c r="U1865" s="44"/>
      <c r="V1865" s="44"/>
      <c r="W1865" s="44"/>
      <c r="X1865" s="44"/>
      <c r="Y1865" s="44"/>
    </row>
    <row r="1866" spans="14:25" ht="15" customHeight="1" x14ac:dyDescent="0.25">
      <c r="N1866" s="44"/>
      <c r="O1866" s="44"/>
      <c r="P1866" s="44"/>
      <c r="Q1866" s="44"/>
      <c r="R1866" s="44"/>
      <c r="S1866" s="44"/>
      <c r="T1866" s="44"/>
      <c r="U1866" s="44"/>
      <c r="V1866" s="44"/>
      <c r="W1866" s="44"/>
      <c r="X1866" s="44"/>
      <c r="Y1866" s="44"/>
    </row>
    <row r="1867" spans="14:25" ht="15" customHeight="1" x14ac:dyDescent="0.25">
      <c r="N1867" s="44"/>
      <c r="O1867" s="44"/>
      <c r="P1867" s="44"/>
      <c r="Q1867" s="44"/>
      <c r="R1867" s="44"/>
      <c r="S1867" s="44"/>
      <c r="T1867" s="44"/>
      <c r="U1867" s="44"/>
      <c r="V1867" s="44"/>
      <c r="W1867" s="44"/>
      <c r="X1867" s="44"/>
      <c r="Y1867" s="44"/>
    </row>
    <row r="1868" spans="14:25" ht="15" customHeight="1" x14ac:dyDescent="0.25">
      <c r="N1868" s="44"/>
      <c r="O1868" s="44"/>
      <c r="P1868" s="44"/>
      <c r="Q1868" s="44"/>
      <c r="R1868" s="44"/>
      <c r="S1868" s="44"/>
      <c r="T1868" s="44"/>
      <c r="U1868" s="44"/>
      <c r="V1868" s="44"/>
      <c r="W1868" s="44"/>
      <c r="X1868" s="44"/>
      <c r="Y1868" s="44"/>
    </row>
    <row r="1869" spans="14:25" ht="15" customHeight="1" x14ac:dyDescent="0.25">
      <c r="N1869" s="44"/>
      <c r="O1869" s="44"/>
      <c r="P1869" s="44"/>
      <c r="Q1869" s="44"/>
      <c r="R1869" s="44"/>
      <c r="S1869" s="44"/>
      <c r="T1869" s="44"/>
      <c r="U1869" s="44"/>
      <c r="V1869" s="44"/>
      <c r="W1869" s="44"/>
      <c r="X1869" s="44"/>
      <c r="Y1869" s="44"/>
    </row>
    <row r="1870" spans="14:25" ht="15" customHeight="1" x14ac:dyDescent="0.25">
      <c r="N1870" s="44"/>
      <c r="O1870" s="44"/>
      <c r="P1870" s="44"/>
      <c r="Q1870" s="44"/>
      <c r="R1870" s="44"/>
      <c r="S1870" s="44"/>
      <c r="T1870" s="44"/>
      <c r="U1870" s="44"/>
      <c r="V1870" s="44"/>
      <c r="W1870" s="44"/>
      <c r="X1870" s="44"/>
      <c r="Y1870" s="44"/>
    </row>
    <row r="1871" spans="14:25" ht="15" customHeight="1" x14ac:dyDescent="0.25">
      <c r="N1871" s="44"/>
      <c r="O1871" s="44"/>
      <c r="P1871" s="44"/>
      <c r="Q1871" s="44"/>
      <c r="R1871" s="44"/>
      <c r="S1871" s="44"/>
      <c r="T1871" s="44"/>
      <c r="U1871" s="44"/>
      <c r="V1871" s="44"/>
      <c r="W1871" s="44"/>
      <c r="X1871" s="44"/>
      <c r="Y1871" s="44"/>
    </row>
    <row r="1872" spans="14:25" ht="15" customHeight="1" x14ac:dyDescent="0.25">
      <c r="N1872" s="44"/>
      <c r="O1872" s="44"/>
      <c r="P1872" s="44"/>
      <c r="Q1872" s="44"/>
      <c r="R1872" s="44"/>
      <c r="S1872" s="44"/>
      <c r="T1872" s="44"/>
      <c r="U1872" s="44"/>
      <c r="V1872" s="44"/>
      <c r="W1872" s="44"/>
      <c r="X1872" s="44"/>
      <c r="Y1872" s="44"/>
    </row>
    <row r="1873" spans="14:25" ht="15" customHeight="1" x14ac:dyDescent="0.25">
      <c r="N1873" s="44"/>
      <c r="O1873" s="44"/>
      <c r="P1873" s="44"/>
      <c r="Q1873" s="44"/>
      <c r="R1873" s="44"/>
      <c r="S1873" s="44"/>
      <c r="T1873" s="44"/>
      <c r="U1873" s="44"/>
      <c r="V1873" s="44"/>
      <c r="W1873" s="44"/>
      <c r="X1873" s="44"/>
      <c r="Y1873" s="44"/>
    </row>
    <row r="1874" spans="14:25" ht="15" customHeight="1" x14ac:dyDescent="0.25"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44"/>
      <c r="Y1874" s="44"/>
    </row>
    <row r="1875" spans="14:25" ht="15" customHeight="1" x14ac:dyDescent="0.25">
      <c r="N1875" s="44"/>
      <c r="O1875" s="44"/>
      <c r="P1875" s="44"/>
      <c r="Q1875" s="44"/>
      <c r="R1875" s="44"/>
      <c r="S1875" s="44"/>
      <c r="T1875" s="44"/>
      <c r="U1875" s="44"/>
      <c r="V1875" s="44"/>
      <c r="W1875" s="44"/>
      <c r="X1875" s="44"/>
      <c r="Y1875" s="44"/>
    </row>
    <row r="1876" spans="14:25" ht="15" customHeight="1" x14ac:dyDescent="0.25">
      <c r="N1876" s="44"/>
      <c r="O1876" s="44"/>
      <c r="P1876" s="44"/>
      <c r="Q1876" s="44"/>
      <c r="R1876" s="44"/>
      <c r="S1876" s="44"/>
      <c r="T1876" s="44"/>
      <c r="U1876" s="44"/>
      <c r="V1876" s="44"/>
      <c r="W1876" s="44"/>
      <c r="X1876" s="44"/>
      <c r="Y1876" s="44"/>
    </row>
    <row r="1877" spans="14:25" ht="15" customHeight="1" x14ac:dyDescent="0.25"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44"/>
      <c r="Y1877" s="44"/>
    </row>
    <row r="1878" spans="14:25" ht="15" customHeight="1" x14ac:dyDescent="0.25">
      <c r="N1878" s="44"/>
      <c r="O1878" s="44"/>
      <c r="P1878" s="44"/>
      <c r="Q1878" s="44"/>
      <c r="R1878" s="44"/>
      <c r="S1878" s="44"/>
      <c r="T1878" s="44"/>
      <c r="U1878" s="44"/>
      <c r="V1878" s="44"/>
      <c r="W1878" s="44"/>
      <c r="X1878" s="44"/>
      <c r="Y1878" s="44"/>
    </row>
    <row r="1879" spans="14:25" ht="15" customHeight="1" x14ac:dyDescent="0.25">
      <c r="N1879" s="44"/>
      <c r="O1879" s="44"/>
      <c r="P1879" s="44"/>
      <c r="Q1879" s="44"/>
      <c r="R1879" s="44"/>
      <c r="S1879" s="44"/>
      <c r="T1879" s="44"/>
      <c r="U1879" s="44"/>
      <c r="V1879" s="44"/>
      <c r="W1879" s="44"/>
      <c r="X1879" s="44"/>
      <c r="Y1879" s="44"/>
    </row>
    <row r="1880" spans="14:25" ht="15" customHeight="1" x14ac:dyDescent="0.25">
      <c r="N1880" s="44"/>
      <c r="O1880" s="44"/>
      <c r="P1880" s="44"/>
      <c r="Q1880" s="44"/>
      <c r="R1880" s="44"/>
      <c r="S1880" s="44"/>
      <c r="T1880" s="44"/>
      <c r="U1880" s="44"/>
      <c r="V1880" s="44"/>
      <c r="W1880" s="44"/>
      <c r="X1880" s="44"/>
      <c r="Y1880" s="44"/>
    </row>
    <row r="1881" spans="14:25" ht="15" customHeight="1" x14ac:dyDescent="0.25">
      <c r="N1881" s="44"/>
      <c r="O1881" s="44"/>
      <c r="P1881" s="44"/>
      <c r="Q1881" s="44"/>
      <c r="R1881" s="44"/>
      <c r="S1881" s="44"/>
      <c r="T1881" s="44"/>
      <c r="U1881" s="44"/>
      <c r="V1881" s="44"/>
      <c r="W1881" s="44"/>
      <c r="X1881" s="44"/>
      <c r="Y1881" s="44"/>
    </row>
    <row r="1882" spans="14:25" ht="15" customHeight="1" x14ac:dyDescent="0.25">
      <c r="N1882" s="44"/>
      <c r="O1882" s="44"/>
      <c r="P1882" s="44"/>
      <c r="Q1882" s="44"/>
      <c r="R1882" s="44"/>
      <c r="S1882" s="44"/>
      <c r="T1882" s="44"/>
      <c r="U1882" s="44"/>
      <c r="V1882" s="44"/>
      <c r="W1882" s="44"/>
      <c r="X1882" s="44"/>
      <c r="Y1882" s="44"/>
    </row>
    <row r="1883" spans="14:25" ht="15" customHeight="1" x14ac:dyDescent="0.25">
      <c r="N1883" s="44"/>
      <c r="O1883" s="44"/>
      <c r="P1883" s="44"/>
      <c r="Q1883" s="44"/>
      <c r="R1883" s="44"/>
      <c r="S1883" s="44"/>
      <c r="T1883" s="44"/>
      <c r="U1883" s="44"/>
      <c r="V1883" s="44"/>
      <c r="W1883" s="44"/>
      <c r="X1883" s="44"/>
      <c r="Y1883" s="44"/>
    </row>
    <row r="1884" spans="14:25" ht="15" customHeight="1" x14ac:dyDescent="0.25">
      <c r="N1884" s="44"/>
      <c r="O1884" s="44"/>
      <c r="P1884" s="44"/>
      <c r="Q1884" s="44"/>
      <c r="R1884" s="44"/>
      <c r="S1884" s="44"/>
      <c r="T1884" s="44"/>
      <c r="U1884" s="44"/>
      <c r="V1884" s="44"/>
      <c r="W1884" s="44"/>
      <c r="X1884" s="44"/>
      <c r="Y1884" s="44"/>
    </row>
    <row r="1885" spans="14:25" ht="15" customHeight="1" x14ac:dyDescent="0.25">
      <c r="N1885" s="44"/>
      <c r="O1885" s="44"/>
      <c r="P1885" s="44"/>
      <c r="Q1885" s="44"/>
      <c r="R1885" s="44"/>
      <c r="S1885" s="44"/>
      <c r="T1885" s="44"/>
      <c r="U1885" s="44"/>
      <c r="V1885" s="44"/>
      <c r="W1885" s="44"/>
      <c r="X1885" s="44"/>
      <c r="Y1885" s="44"/>
    </row>
    <row r="1886" spans="14:25" ht="15" customHeight="1" x14ac:dyDescent="0.25">
      <c r="N1886" s="44"/>
      <c r="O1886" s="44"/>
      <c r="P1886" s="44"/>
      <c r="Q1886" s="44"/>
      <c r="R1886" s="44"/>
      <c r="S1886" s="44"/>
      <c r="T1886" s="44"/>
      <c r="U1886" s="44"/>
      <c r="V1886" s="44"/>
      <c r="W1886" s="44"/>
      <c r="X1886" s="44"/>
      <c r="Y1886" s="44"/>
    </row>
    <row r="1887" spans="14:25" ht="15" customHeight="1" x14ac:dyDescent="0.25">
      <c r="N1887" s="44"/>
      <c r="O1887" s="44"/>
      <c r="P1887" s="44"/>
      <c r="Q1887" s="44"/>
      <c r="R1887" s="44"/>
      <c r="S1887" s="44"/>
      <c r="T1887" s="44"/>
      <c r="U1887" s="44"/>
      <c r="V1887" s="44"/>
      <c r="W1887" s="44"/>
      <c r="X1887" s="44"/>
      <c r="Y1887" s="44"/>
    </row>
    <row r="1888" spans="14:25" ht="15" customHeight="1" x14ac:dyDescent="0.25">
      <c r="N1888" s="44"/>
      <c r="O1888" s="44"/>
      <c r="P1888" s="44"/>
      <c r="Q1888" s="44"/>
      <c r="R1888" s="44"/>
      <c r="S1888" s="44"/>
      <c r="T1888" s="44"/>
      <c r="U1888" s="44"/>
      <c r="V1888" s="44"/>
      <c r="W1888" s="44"/>
      <c r="X1888" s="44"/>
      <c r="Y1888" s="44"/>
    </row>
    <row r="1889" spans="14:25" ht="15" customHeight="1" x14ac:dyDescent="0.25">
      <c r="N1889" s="44"/>
      <c r="O1889" s="44"/>
      <c r="P1889" s="44"/>
      <c r="Q1889" s="44"/>
      <c r="R1889" s="44"/>
      <c r="S1889" s="44"/>
      <c r="T1889" s="44"/>
      <c r="U1889" s="44"/>
      <c r="V1889" s="44"/>
      <c r="W1889" s="44"/>
      <c r="X1889" s="44"/>
      <c r="Y1889" s="44"/>
    </row>
    <row r="1890" spans="14:25" ht="15" customHeight="1" x14ac:dyDescent="0.25">
      <c r="N1890" s="44"/>
      <c r="O1890" s="44"/>
      <c r="P1890" s="44"/>
      <c r="Q1890" s="44"/>
      <c r="R1890" s="44"/>
      <c r="S1890" s="44"/>
      <c r="T1890" s="44"/>
      <c r="U1890" s="44"/>
      <c r="V1890" s="44"/>
      <c r="W1890" s="44"/>
      <c r="X1890" s="44"/>
      <c r="Y1890" s="44"/>
    </row>
    <row r="1891" spans="14:25" ht="15" customHeight="1" x14ac:dyDescent="0.25">
      <c r="N1891" s="44"/>
      <c r="O1891" s="44"/>
      <c r="P1891" s="44"/>
      <c r="Q1891" s="44"/>
      <c r="R1891" s="44"/>
      <c r="S1891" s="44"/>
      <c r="T1891" s="44"/>
      <c r="U1891" s="44"/>
      <c r="V1891" s="44"/>
      <c r="W1891" s="44"/>
      <c r="X1891" s="44"/>
      <c r="Y1891" s="44"/>
    </row>
    <row r="1892" spans="14:25" ht="15" customHeight="1" x14ac:dyDescent="0.25">
      <c r="N1892" s="44"/>
      <c r="O1892" s="44"/>
      <c r="P1892" s="44"/>
      <c r="Q1892" s="44"/>
      <c r="R1892" s="44"/>
      <c r="S1892" s="44"/>
      <c r="T1892" s="44"/>
      <c r="U1892" s="44"/>
      <c r="V1892" s="44"/>
      <c r="W1892" s="44"/>
      <c r="X1892" s="44"/>
      <c r="Y1892" s="44"/>
    </row>
    <row r="1893" spans="14:25" ht="15" customHeight="1" x14ac:dyDescent="0.25">
      <c r="N1893" s="44"/>
      <c r="O1893" s="44"/>
      <c r="P1893" s="44"/>
      <c r="Q1893" s="44"/>
      <c r="R1893" s="44"/>
      <c r="S1893" s="44"/>
      <c r="T1893" s="44"/>
      <c r="U1893" s="44"/>
      <c r="V1893" s="44"/>
      <c r="W1893" s="44"/>
      <c r="X1893" s="44"/>
      <c r="Y1893" s="44"/>
    </row>
    <row r="1894" spans="14:25" ht="15" customHeight="1" x14ac:dyDescent="0.25">
      <c r="N1894" s="44"/>
      <c r="O1894" s="44"/>
      <c r="P1894" s="44"/>
      <c r="Q1894" s="44"/>
      <c r="R1894" s="44"/>
      <c r="S1894" s="44"/>
      <c r="T1894" s="44"/>
      <c r="U1894" s="44"/>
      <c r="V1894" s="44"/>
      <c r="W1894" s="44"/>
      <c r="X1894" s="44"/>
      <c r="Y1894" s="44"/>
    </row>
    <row r="1895" spans="14:25" ht="15" customHeight="1" x14ac:dyDescent="0.25">
      <c r="N1895" s="44"/>
      <c r="O1895" s="44"/>
      <c r="P1895" s="44"/>
      <c r="Q1895" s="44"/>
      <c r="R1895" s="44"/>
      <c r="S1895" s="44"/>
      <c r="T1895" s="44"/>
      <c r="U1895" s="44"/>
      <c r="V1895" s="44"/>
      <c r="W1895" s="44"/>
      <c r="X1895" s="44"/>
      <c r="Y1895" s="44"/>
    </row>
    <row r="1896" spans="14:25" ht="15" customHeight="1" x14ac:dyDescent="0.25">
      <c r="N1896" s="44"/>
      <c r="O1896" s="44"/>
      <c r="P1896" s="44"/>
      <c r="Q1896" s="44"/>
      <c r="R1896" s="44"/>
      <c r="S1896" s="44"/>
      <c r="T1896" s="44"/>
      <c r="U1896" s="44"/>
      <c r="V1896" s="44"/>
      <c r="W1896" s="44"/>
      <c r="X1896" s="44"/>
      <c r="Y1896" s="44"/>
    </row>
    <row r="1897" spans="14:25" ht="15" customHeight="1" x14ac:dyDescent="0.25">
      <c r="N1897" s="44"/>
      <c r="O1897" s="44"/>
      <c r="P1897" s="44"/>
      <c r="Q1897" s="44"/>
      <c r="R1897" s="44"/>
      <c r="S1897" s="44"/>
      <c r="T1897" s="44"/>
      <c r="U1897" s="44"/>
      <c r="V1897" s="44"/>
      <c r="W1897" s="44"/>
      <c r="X1897" s="44"/>
      <c r="Y1897" s="44"/>
    </row>
    <row r="1898" spans="14:25" ht="15" customHeight="1" x14ac:dyDescent="0.25">
      <c r="N1898" s="44"/>
      <c r="O1898" s="44"/>
      <c r="P1898" s="44"/>
      <c r="Q1898" s="44"/>
      <c r="R1898" s="44"/>
      <c r="S1898" s="44"/>
      <c r="T1898" s="44"/>
      <c r="U1898" s="44"/>
      <c r="V1898" s="44"/>
      <c r="W1898" s="44"/>
      <c r="X1898" s="44"/>
      <c r="Y1898" s="44"/>
    </row>
    <row r="1899" spans="14:25" ht="15" customHeight="1" x14ac:dyDescent="0.25">
      <c r="N1899" s="44"/>
      <c r="O1899" s="44"/>
      <c r="P1899" s="44"/>
      <c r="Q1899" s="44"/>
      <c r="R1899" s="44"/>
      <c r="S1899" s="44"/>
      <c r="T1899" s="44"/>
      <c r="U1899" s="44"/>
      <c r="V1899" s="44"/>
      <c r="W1899" s="44"/>
      <c r="X1899" s="44"/>
      <c r="Y1899" s="44"/>
    </row>
    <row r="1900" spans="14:25" ht="15" customHeight="1" x14ac:dyDescent="0.25">
      <c r="N1900" s="44"/>
      <c r="O1900" s="44"/>
      <c r="P1900" s="44"/>
      <c r="Q1900" s="44"/>
      <c r="R1900" s="44"/>
      <c r="S1900" s="44"/>
      <c r="T1900" s="44"/>
      <c r="U1900" s="44"/>
      <c r="V1900" s="44"/>
      <c r="W1900" s="44"/>
      <c r="X1900" s="44"/>
      <c r="Y1900" s="44"/>
    </row>
    <row r="1901" spans="14:25" ht="15" customHeight="1" x14ac:dyDescent="0.25">
      <c r="N1901" s="44"/>
      <c r="O1901" s="44"/>
      <c r="P1901" s="44"/>
      <c r="Q1901" s="44"/>
      <c r="R1901" s="44"/>
      <c r="S1901" s="44"/>
      <c r="T1901" s="44"/>
      <c r="U1901" s="44"/>
      <c r="V1901" s="44"/>
      <c r="W1901" s="44"/>
      <c r="X1901" s="44"/>
      <c r="Y1901" s="44"/>
    </row>
    <row r="1902" spans="14:25" ht="15" customHeight="1" x14ac:dyDescent="0.25">
      <c r="N1902" s="44"/>
      <c r="O1902" s="44"/>
      <c r="P1902" s="44"/>
      <c r="Q1902" s="44"/>
      <c r="R1902" s="44"/>
      <c r="S1902" s="44"/>
      <c r="T1902" s="44"/>
      <c r="U1902" s="44"/>
      <c r="V1902" s="44"/>
      <c r="W1902" s="44"/>
      <c r="X1902" s="44"/>
      <c r="Y1902" s="44"/>
    </row>
    <row r="1903" spans="14:25" ht="15" customHeight="1" x14ac:dyDescent="0.25">
      <c r="N1903" s="44"/>
      <c r="O1903" s="44"/>
      <c r="P1903" s="44"/>
      <c r="Q1903" s="44"/>
      <c r="R1903" s="44"/>
      <c r="S1903" s="44"/>
      <c r="T1903" s="44"/>
      <c r="U1903" s="44"/>
      <c r="V1903" s="44"/>
      <c r="W1903" s="44"/>
      <c r="X1903" s="44"/>
      <c r="Y1903" s="44"/>
    </row>
    <row r="1904" spans="14:25" ht="15" customHeight="1" x14ac:dyDescent="0.25">
      <c r="N1904" s="44"/>
      <c r="O1904" s="44"/>
      <c r="P1904" s="44"/>
      <c r="Q1904" s="44"/>
      <c r="R1904" s="44"/>
      <c r="S1904" s="44"/>
      <c r="T1904" s="44"/>
      <c r="U1904" s="44"/>
      <c r="V1904" s="44"/>
      <c r="W1904" s="44"/>
      <c r="X1904" s="44"/>
      <c r="Y1904" s="44"/>
    </row>
    <row r="1905" spans="14:25" ht="15" customHeight="1" x14ac:dyDescent="0.25">
      <c r="N1905" s="44"/>
      <c r="O1905" s="44"/>
      <c r="P1905" s="44"/>
      <c r="Q1905" s="44"/>
      <c r="R1905" s="44"/>
      <c r="S1905" s="44"/>
      <c r="T1905" s="44"/>
      <c r="U1905" s="44"/>
      <c r="V1905" s="44"/>
      <c r="W1905" s="44"/>
      <c r="X1905" s="44"/>
      <c r="Y1905" s="44"/>
    </row>
    <row r="1906" spans="14:25" ht="15" customHeight="1" x14ac:dyDescent="0.25">
      <c r="N1906" s="44"/>
      <c r="O1906" s="44"/>
      <c r="P1906" s="44"/>
      <c r="Q1906" s="44"/>
      <c r="R1906" s="44"/>
      <c r="S1906" s="44"/>
      <c r="T1906" s="44"/>
      <c r="U1906" s="44"/>
      <c r="V1906" s="44"/>
      <c r="W1906" s="44"/>
      <c r="X1906" s="44"/>
      <c r="Y1906" s="44"/>
    </row>
    <row r="1907" spans="14:25" ht="15" customHeight="1" x14ac:dyDescent="0.25">
      <c r="N1907" s="44"/>
      <c r="O1907" s="44"/>
      <c r="P1907" s="44"/>
      <c r="Q1907" s="44"/>
      <c r="R1907" s="44"/>
      <c r="S1907" s="44"/>
      <c r="T1907" s="44"/>
      <c r="U1907" s="44"/>
      <c r="V1907" s="44"/>
      <c r="W1907" s="44"/>
      <c r="X1907" s="44"/>
      <c r="Y1907" s="44"/>
    </row>
    <row r="1908" spans="14:25" ht="15" customHeight="1" x14ac:dyDescent="0.25">
      <c r="N1908" s="44"/>
      <c r="O1908" s="44"/>
      <c r="P1908" s="44"/>
      <c r="Q1908" s="44"/>
      <c r="R1908" s="44"/>
      <c r="S1908" s="44"/>
      <c r="T1908" s="44"/>
      <c r="U1908" s="44"/>
      <c r="V1908" s="44"/>
      <c r="W1908" s="44"/>
      <c r="X1908" s="44"/>
      <c r="Y1908" s="44"/>
    </row>
    <row r="1909" spans="14:25" ht="15" customHeight="1" x14ac:dyDescent="0.25">
      <c r="N1909" s="44"/>
      <c r="O1909" s="44"/>
      <c r="P1909" s="44"/>
      <c r="Q1909" s="44"/>
      <c r="R1909" s="44"/>
      <c r="S1909" s="44"/>
      <c r="T1909" s="44"/>
      <c r="U1909" s="44"/>
      <c r="V1909" s="44"/>
      <c r="W1909" s="44"/>
      <c r="X1909" s="44"/>
      <c r="Y1909" s="44"/>
    </row>
    <row r="1910" spans="14:25" ht="15" customHeight="1" x14ac:dyDescent="0.25">
      <c r="N1910" s="44"/>
      <c r="O1910" s="44"/>
      <c r="P1910" s="44"/>
      <c r="Q1910" s="44"/>
      <c r="R1910" s="44"/>
      <c r="S1910" s="44"/>
      <c r="T1910" s="44"/>
      <c r="U1910" s="44"/>
      <c r="V1910" s="44"/>
      <c r="W1910" s="44"/>
      <c r="X1910" s="44"/>
      <c r="Y1910" s="44"/>
    </row>
    <row r="1911" spans="14:25" ht="15" customHeight="1" x14ac:dyDescent="0.25">
      <c r="N1911" s="44"/>
      <c r="O1911" s="44"/>
      <c r="P1911" s="44"/>
      <c r="Q1911" s="44"/>
      <c r="R1911" s="44"/>
      <c r="S1911" s="44"/>
      <c r="T1911" s="44"/>
      <c r="U1911" s="44"/>
      <c r="V1911" s="44"/>
      <c r="W1911" s="44"/>
      <c r="X1911" s="44"/>
      <c r="Y1911" s="44"/>
    </row>
    <row r="1912" spans="14:25" ht="15" customHeight="1" x14ac:dyDescent="0.25">
      <c r="N1912" s="44"/>
      <c r="O1912" s="44"/>
      <c r="P1912" s="44"/>
      <c r="Q1912" s="44"/>
      <c r="R1912" s="44"/>
      <c r="S1912" s="44"/>
      <c r="T1912" s="44"/>
      <c r="U1912" s="44"/>
      <c r="V1912" s="44"/>
      <c r="W1912" s="44"/>
      <c r="X1912" s="44"/>
      <c r="Y1912" s="44"/>
    </row>
    <row r="1913" spans="14:25" ht="15" customHeight="1" x14ac:dyDescent="0.25">
      <c r="N1913" s="44"/>
      <c r="O1913" s="44"/>
      <c r="P1913" s="44"/>
      <c r="Q1913" s="44"/>
      <c r="R1913" s="44"/>
      <c r="S1913" s="44"/>
      <c r="T1913" s="44"/>
      <c r="U1913" s="44"/>
      <c r="V1913" s="44"/>
      <c r="W1913" s="44"/>
      <c r="X1913" s="44"/>
      <c r="Y1913" s="44"/>
    </row>
    <row r="1914" spans="14:25" ht="15" customHeight="1" x14ac:dyDescent="0.25">
      <c r="N1914" s="44"/>
      <c r="O1914" s="44"/>
      <c r="P1914" s="44"/>
      <c r="Q1914" s="44"/>
      <c r="R1914" s="44"/>
      <c r="S1914" s="44"/>
      <c r="T1914" s="44"/>
      <c r="U1914" s="44"/>
      <c r="V1914" s="44"/>
      <c r="W1914" s="44"/>
      <c r="X1914" s="44"/>
      <c r="Y1914" s="44"/>
    </row>
    <row r="1915" spans="14:25" ht="15" customHeight="1" x14ac:dyDescent="0.25">
      <c r="N1915" s="44"/>
      <c r="O1915" s="44"/>
      <c r="P1915" s="44"/>
      <c r="Q1915" s="44"/>
      <c r="R1915" s="44"/>
      <c r="S1915" s="44"/>
      <c r="T1915" s="44"/>
      <c r="U1915" s="44"/>
      <c r="V1915" s="44"/>
      <c r="W1915" s="44"/>
      <c r="X1915" s="44"/>
      <c r="Y1915" s="44"/>
    </row>
    <row r="1916" spans="14:25" ht="15" customHeight="1" x14ac:dyDescent="0.25">
      <c r="N1916" s="44"/>
      <c r="O1916" s="44"/>
      <c r="P1916" s="44"/>
      <c r="Q1916" s="44"/>
      <c r="R1916" s="44"/>
      <c r="S1916" s="44"/>
      <c r="T1916" s="44"/>
      <c r="U1916" s="44"/>
      <c r="V1916" s="44"/>
      <c r="W1916" s="44"/>
      <c r="X1916" s="44"/>
      <c r="Y1916" s="44"/>
    </row>
    <row r="1917" spans="14:25" ht="15" customHeight="1" x14ac:dyDescent="0.25">
      <c r="N1917" s="44"/>
      <c r="O1917" s="44"/>
      <c r="P1917" s="44"/>
      <c r="Q1917" s="44"/>
      <c r="R1917" s="44"/>
      <c r="S1917" s="44"/>
      <c r="T1917" s="44"/>
      <c r="U1917" s="44"/>
      <c r="V1917" s="44"/>
      <c r="W1917" s="44"/>
      <c r="X1917" s="44"/>
      <c r="Y1917" s="44"/>
    </row>
    <row r="1918" spans="14:25" ht="15" customHeight="1" x14ac:dyDescent="0.25">
      <c r="N1918" s="44"/>
      <c r="O1918" s="44"/>
      <c r="P1918" s="44"/>
      <c r="Q1918" s="44"/>
      <c r="R1918" s="44"/>
      <c r="S1918" s="44"/>
      <c r="T1918" s="44"/>
      <c r="U1918" s="44"/>
      <c r="V1918" s="44"/>
      <c r="W1918" s="44"/>
      <c r="X1918" s="44"/>
      <c r="Y1918" s="44"/>
    </row>
    <row r="1919" spans="14:25" ht="15" customHeight="1" x14ac:dyDescent="0.25">
      <c r="N1919" s="44"/>
      <c r="O1919" s="44"/>
      <c r="P1919" s="44"/>
      <c r="Q1919" s="44"/>
      <c r="R1919" s="44"/>
      <c r="S1919" s="44"/>
      <c r="T1919" s="44"/>
      <c r="U1919" s="44"/>
      <c r="V1919" s="44"/>
      <c r="W1919" s="44"/>
      <c r="X1919" s="44"/>
      <c r="Y1919" s="44"/>
    </row>
    <row r="1920" spans="14:25" ht="15" customHeight="1" x14ac:dyDescent="0.25">
      <c r="N1920" s="44"/>
      <c r="O1920" s="44"/>
      <c r="P1920" s="44"/>
      <c r="Q1920" s="44"/>
      <c r="R1920" s="44"/>
      <c r="S1920" s="44"/>
      <c r="T1920" s="44"/>
      <c r="U1920" s="44"/>
      <c r="V1920" s="44"/>
      <c r="W1920" s="44"/>
      <c r="X1920" s="44"/>
      <c r="Y1920" s="44"/>
    </row>
    <row r="1921" spans="14:25" ht="15" customHeight="1" x14ac:dyDescent="0.25">
      <c r="N1921" s="44"/>
      <c r="O1921" s="44"/>
      <c r="P1921" s="44"/>
      <c r="Q1921" s="44"/>
      <c r="R1921" s="44"/>
      <c r="S1921" s="44"/>
      <c r="T1921" s="44"/>
      <c r="U1921" s="44"/>
      <c r="V1921" s="44"/>
      <c r="W1921" s="44"/>
      <c r="X1921" s="44"/>
      <c r="Y1921" s="44"/>
    </row>
    <row r="1922" spans="14:25" ht="15" customHeight="1" x14ac:dyDescent="0.25">
      <c r="N1922" s="44"/>
      <c r="O1922" s="44"/>
      <c r="P1922" s="44"/>
      <c r="Q1922" s="44"/>
      <c r="R1922" s="44"/>
      <c r="S1922" s="44"/>
      <c r="T1922" s="44"/>
      <c r="U1922" s="44"/>
      <c r="V1922" s="44"/>
      <c r="W1922" s="44"/>
      <c r="X1922" s="44"/>
      <c r="Y1922" s="44"/>
    </row>
    <row r="1923" spans="14:25" ht="15" customHeight="1" x14ac:dyDescent="0.25">
      <c r="N1923" s="44"/>
      <c r="O1923" s="44"/>
      <c r="P1923" s="44"/>
      <c r="Q1923" s="44"/>
      <c r="R1923" s="44"/>
      <c r="S1923" s="44"/>
      <c r="T1923" s="44"/>
      <c r="U1923" s="44"/>
      <c r="V1923" s="44"/>
      <c r="W1923" s="44"/>
      <c r="X1923" s="44"/>
      <c r="Y1923" s="44"/>
    </row>
    <row r="1924" spans="14:25" ht="15" customHeight="1" x14ac:dyDescent="0.25">
      <c r="N1924" s="44"/>
      <c r="O1924" s="44"/>
      <c r="P1924" s="44"/>
      <c r="Q1924" s="44"/>
      <c r="R1924" s="44"/>
      <c r="S1924" s="44"/>
      <c r="T1924" s="44"/>
      <c r="U1924" s="44"/>
      <c r="V1924" s="44"/>
      <c r="W1924" s="44"/>
      <c r="X1924" s="44"/>
      <c r="Y1924" s="44"/>
    </row>
    <row r="1925" spans="14:25" ht="15" customHeight="1" x14ac:dyDescent="0.25">
      <c r="N1925" s="44"/>
      <c r="O1925" s="44"/>
      <c r="P1925" s="44"/>
      <c r="Q1925" s="44"/>
      <c r="R1925" s="44"/>
      <c r="S1925" s="44"/>
      <c r="T1925" s="44"/>
      <c r="U1925" s="44"/>
      <c r="V1925" s="44"/>
      <c r="W1925" s="44"/>
      <c r="X1925" s="44"/>
      <c r="Y1925" s="44"/>
    </row>
    <row r="1926" spans="14:25" ht="15" customHeight="1" x14ac:dyDescent="0.25">
      <c r="N1926" s="44"/>
      <c r="O1926" s="44"/>
      <c r="P1926" s="44"/>
      <c r="Q1926" s="44"/>
      <c r="R1926" s="44"/>
      <c r="S1926" s="44"/>
      <c r="T1926" s="44"/>
      <c r="U1926" s="44"/>
      <c r="V1926" s="44"/>
      <c r="W1926" s="44"/>
      <c r="X1926" s="44"/>
      <c r="Y1926" s="44"/>
    </row>
    <row r="1927" spans="14:25" ht="15" customHeight="1" x14ac:dyDescent="0.25">
      <c r="N1927" s="44"/>
      <c r="O1927" s="44"/>
      <c r="P1927" s="44"/>
      <c r="Q1927" s="44"/>
      <c r="R1927" s="44"/>
      <c r="S1927" s="44"/>
      <c r="T1927" s="44"/>
      <c r="U1927" s="44"/>
      <c r="V1927" s="44"/>
      <c r="W1927" s="44"/>
      <c r="X1927" s="44"/>
      <c r="Y1927" s="44"/>
    </row>
    <row r="1928" spans="14:25" ht="15" customHeight="1" x14ac:dyDescent="0.25">
      <c r="N1928" s="44"/>
      <c r="O1928" s="44"/>
      <c r="P1928" s="44"/>
      <c r="Q1928" s="44"/>
      <c r="R1928" s="44"/>
      <c r="S1928" s="44"/>
      <c r="T1928" s="44"/>
      <c r="U1928" s="44"/>
      <c r="V1928" s="44"/>
      <c r="W1928" s="44"/>
      <c r="X1928" s="44"/>
      <c r="Y1928" s="44"/>
    </row>
    <row r="1929" spans="14:25" ht="15" customHeight="1" x14ac:dyDescent="0.25">
      <c r="N1929" s="44"/>
      <c r="O1929" s="44"/>
      <c r="P1929" s="44"/>
      <c r="Q1929" s="44"/>
      <c r="R1929" s="44"/>
      <c r="S1929" s="44"/>
      <c r="T1929" s="44"/>
      <c r="U1929" s="44"/>
      <c r="V1929" s="44"/>
      <c r="W1929" s="44"/>
      <c r="X1929" s="44"/>
      <c r="Y1929" s="44"/>
    </row>
    <row r="1930" spans="14:25" ht="15" customHeight="1" x14ac:dyDescent="0.25">
      <c r="N1930" s="44"/>
      <c r="O1930" s="44"/>
      <c r="P1930" s="44"/>
      <c r="Q1930" s="44"/>
      <c r="R1930" s="44"/>
      <c r="S1930" s="44"/>
      <c r="T1930" s="44"/>
      <c r="U1930" s="44"/>
      <c r="V1930" s="44"/>
      <c r="W1930" s="44"/>
      <c r="X1930" s="44"/>
      <c r="Y1930" s="44"/>
    </row>
    <row r="1931" spans="14:25" ht="15" customHeight="1" x14ac:dyDescent="0.25">
      <c r="N1931" s="44"/>
      <c r="O1931" s="44"/>
      <c r="P1931" s="44"/>
      <c r="Q1931" s="44"/>
      <c r="R1931" s="44"/>
      <c r="S1931" s="44"/>
      <c r="T1931" s="44"/>
      <c r="U1931" s="44"/>
      <c r="V1931" s="44"/>
      <c r="W1931" s="44"/>
      <c r="X1931" s="44"/>
      <c r="Y1931" s="44"/>
    </row>
    <row r="1932" spans="14:25" ht="15" customHeight="1" x14ac:dyDescent="0.25">
      <c r="N1932" s="44"/>
      <c r="O1932" s="44"/>
      <c r="P1932" s="44"/>
      <c r="Q1932" s="44"/>
      <c r="R1932" s="44"/>
      <c r="S1932" s="44"/>
      <c r="T1932" s="44"/>
      <c r="U1932" s="44"/>
      <c r="V1932" s="44"/>
      <c r="W1932" s="44"/>
      <c r="X1932" s="44"/>
      <c r="Y1932" s="44"/>
    </row>
    <row r="1933" spans="14:25" ht="15" customHeight="1" x14ac:dyDescent="0.25">
      <c r="N1933" s="44"/>
      <c r="O1933" s="44"/>
      <c r="P1933" s="44"/>
      <c r="Q1933" s="44"/>
      <c r="R1933" s="44"/>
      <c r="S1933" s="44"/>
      <c r="T1933" s="44"/>
      <c r="U1933" s="44"/>
      <c r="V1933" s="44"/>
      <c r="W1933" s="44"/>
      <c r="X1933" s="44"/>
      <c r="Y1933" s="44"/>
    </row>
    <row r="1934" spans="14:25" ht="15" customHeight="1" x14ac:dyDescent="0.25">
      <c r="N1934" s="44"/>
      <c r="O1934" s="44"/>
      <c r="P1934" s="44"/>
      <c r="Q1934" s="44"/>
      <c r="R1934" s="44"/>
      <c r="S1934" s="44"/>
      <c r="T1934" s="44"/>
      <c r="U1934" s="44"/>
      <c r="V1934" s="44"/>
      <c r="W1934" s="44"/>
      <c r="X1934" s="44"/>
      <c r="Y1934" s="44"/>
    </row>
    <row r="1935" spans="14:25" ht="15" customHeight="1" x14ac:dyDescent="0.25">
      <c r="N1935" s="44"/>
      <c r="O1935" s="44"/>
      <c r="P1935" s="44"/>
      <c r="Q1935" s="44"/>
      <c r="R1935" s="44"/>
      <c r="S1935" s="44"/>
      <c r="T1935" s="44"/>
      <c r="U1935" s="44"/>
      <c r="V1935" s="44"/>
      <c r="W1935" s="44"/>
      <c r="X1935" s="44"/>
      <c r="Y1935" s="44"/>
    </row>
    <row r="1936" spans="14:25" ht="15" customHeight="1" x14ac:dyDescent="0.25">
      <c r="N1936" s="44"/>
      <c r="O1936" s="44"/>
      <c r="P1936" s="44"/>
      <c r="Q1936" s="44"/>
      <c r="R1936" s="44"/>
      <c r="S1936" s="44"/>
      <c r="T1936" s="44"/>
      <c r="U1936" s="44"/>
      <c r="V1936" s="44"/>
      <c r="W1936" s="44"/>
      <c r="X1936" s="44"/>
      <c r="Y1936" s="44"/>
    </row>
    <row r="1937" spans="14:25" ht="15" customHeight="1" x14ac:dyDescent="0.25">
      <c r="N1937" s="44"/>
      <c r="O1937" s="44"/>
      <c r="P1937" s="44"/>
      <c r="Q1937" s="44"/>
      <c r="R1937" s="44"/>
      <c r="S1937" s="44"/>
      <c r="T1937" s="44"/>
      <c r="U1937" s="44"/>
      <c r="V1937" s="44"/>
      <c r="W1937" s="44"/>
      <c r="X1937" s="44"/>
      <c r="Y1937" s="44"/>
    </row>
    <row r="1938" spans="14:25" ht="15" customHeight="1" x14ac:dyDescent="0.25">
      <c r="N1938" s="44"/>
      <c r="O1938" s="44"/>
      <c r="P1938" s="44"/>
      <c r="Q1938" s="44"/>
      <c r="R1938" s="44"/>
      <c r="S1938" s="44"/>
      <c r="T1938" s="44"/>
      <c r="U1938" s="44"/>
      <c r="V1938" s="44"/>
      <c r="W1938" s="44"/>
      <c r="X1938" s="44"/>
      <c r="Y1938" s="44"/>
    </row>
    <row r="1939" spans="14:25" ht="15" customHeight="1" x14ac:dyDescent="0.25">
      <c r="N1939" s="44"/>
      <c r="O1939" s="44"/>
      <c r="P1939" s="44"/>
      <c r="Q1939" s="44"/>
      <c r="R1939" s="44"/>
      <c r="S1939" s="44"/>
      <c r="T1939" s="44"/>
      <c r="U1939" s="44"/>
      <c r="V1939" s="44"/>
      <c r="W1939" s="44"/>
      <c r="X1939" s="44"/>
      <c r="Y1939" s="44"/>
    </row>
    <row r="1940" spans="14:25" ht="15" customHeight="1" x14ac:dyDescent="0.25">
      <c r="N1940" s="44"/>
      <c r="O1940" s="44"/>
      <c r="P1940" s="44"/>
      <c r="Q1940" s="44"/>
      <c r="R1940" s="44"/>
      <c r="S1940" s="44"/>
      <c r="T1940" s="44"/>
      <c r="U1940" s="44"/>
      <c r="V1940" s="44"/>
      <c r="W1940" s="44"/>
      <c r="X1940" s="44"/>
      <c r="Y1940" s="44"/>
    </row>
    <row r="1941" spans="14:25" ht="15" customHeight="1" x14ac:dyDescent="0.25">
      <c r="N1941" s="44"/>
      <c r="O1941" s="44"/>
      <c r="P1941" s="44"/>
      <c r="Q1941" s="44"/>
      <c r="R1941" s="44"/>
      <c r="S1941" s="44"/>
      <c r="T1941" s="44"/>
      <c r="U1941" s="44"/>
      <c r="V1941" s="44"/>
      <c r="W1941" s="44"/>
      <c r="X1941" s="44"/>
      <c r="Y1941" s="44"/>
    </row>
    <row r="1942" spans="14:25" ht="15" customHeight="1" x14ac:dyDescent="0.25">
      <c r="N1942" s="44"/>
      <c r="O1942" s="44"/>
      <c r="P1942" s="44"/>
      <c r="Q1942" s="44"/>
      <c r="R1942" s="44"/>
      <c r="S1942" s="44"/>
      <c r="T1942" s="44"/>
      <c r="U1942" s="44"/>
      <c r="V1942" s="44"/>
      <c r="W1942" s="44"/>
      <c r="X1942" s="44"/>
      <c r="Y1942" s="44"/>
    </row>
    <row r="1943" spans="14:25" ht="15" customHeight="1" x14ac:dyDescent="0.25">
      <c r="N1943" s="44"/>
      <c r="O1943" s="44"/>
      <c r="P1943" s="44"/>
      <c r="Q1943" s="44"/>
      <c r="R1943" s="44"/>
      <c r="S1943" s="44"/>
      <c r="T1943" s="44"/>
      <c r="U1943" s="44"/>
      <c r="V1943" s="44"/>
      <c r="W1943" s="44"/>
      <c r="X1943" s="44"/>
      <c r="Y1943" s="44"/>
    </row>
    <row r="1944" spans="14:25" ht="15" customHeight="1" x14ac:dyDescent="0.25">
      <c r="N1944" s="44"/>
      <c r="O1944" s="44"/>
      <c r="P1944" s="44"/>
      <c r="Q1944" s="44"/>
      <c r="R1944" s="44"/>
      <c r="S1944" s="44"/>
      <c r="T1944" s="44"/>
      <c r="U1944" s="44"/>
      <c r="V1944" s="44"/>
      <c r="W1944" s="44"/>
      <c r="X1944" s="44"/>
      <c r="Y1944" s="44"/>
    </row>
    <row r="1945" spans="14:25" ht="15" customHeight="1" x14ac:dyDescent="0.25">
      <c r="N1945" s="44"/>
      <c r="O1945" s="44"/>
      <c r="P1945" s="44"/>
      <c r="Q1945" s="44"/>
      <c r="R1945" s="44"/>
      <c r="S1945" s="44"/>
      <c r="T1945" s="44"/>
      <c r="U1945" s="44"/>
      <c r="V1945" s="44"/>
      <c r="W1945" s="44"/>
      <c r="X1945" s="44"/>
      <c r="Y1945" s="44"/>
    </row>
    <row r="1946" spans="14:25" ht="15" customHeight="1" x14ac:dyDescent="0.25">
      <c r="N1946" s="44"/>
      <c r="O1946" s="44"/>
      <c r="P1946" s="44"/>
      <c r="Q1946" s="44"/>
      <c r="R1946" s="44"/>
      <c r="S1946" s="44"/>
      <c r="T1946" s="44"/>
      <c r="U1946" s="44"/>
      <c r="V1946" s="44"/>
      <c r="W1946" s="44"/>
      <c r="X1946" s="44"/>
      <c r="Y1946" s="44"/>
    </row>
    <row r="1947" spans="14:25" ht="15" customHeight="1" x14ac:dyDescent="0.25">
      <c r="N1947" s="44"/>
      <c r="O1947" s="44"/>
      <c r="P1947" s="44"/>
      <c r="Q1947" s="44"/>
      <c r="R1947" s="44"/>
      <c r="S1947" s="44"/>
      <c r="T1947" s="44"/>
      <c r="U1947" s="44"/>
      <c r="V1947" s="44"/>
      <c r="W1947" s="44"/>
      <c r="X1947" s="44"/>
      <c r="Y1947" s="44"/>
    </row>
    <row r="1948" spans="14:25" ht="15" customHeight="1" x14ac:dyDescent="0.25">
      <c r="N1948" s="44"/>
      <c r="O1948" s="44"/>
      <c r="P1948" s="44"/>
      <c r="Q1948" s="44"/>
      <c r="R1948" s="44"/>
      <c r="S1948" s="44"/>
      <c r="T1948" s="44"/>
      <c r="U1948" s="44"/>
      <c r="V1948" s="44"/>
      <c r="W1948" s="44"/>
      <c r="X1948" s="44"/>
      <c r="Y1948" s="44"/>
    </row>
    <row r="1949" spans="14:25" ht="15" customHeight="1" x14ac:dyDescent="0.25">
      <c r="N1949" s="44"/>
      <c r="O1949" s="44"/>
      <c r="P1949" s="44"/>
      <c r="Q1949" s="44"/>
      <c r="R1949" s="44"/>
      <c r="S1949" s="44"/>
      <c r="T1949" s="44"/>
      <c r="U1949" s="44"/>
      <c r="V1949" s="44"/>
      <c r="W1949" s="44"/>
      <c r="X1949" s="44"/>
      <c r="Y1949" s="44"/>
    </row>
    <row r="1950" spans="14:25" ht="15" customHeight="1" x14ac:dyDescent="0.25">
      <c r="N1950" s="44"/>
      <c r="O1950" s="44"/>
      <c r="P1950" s="44"/>
      <c r="Q1950" s="44"/>
      <c r="R1950" s="44"/>
      <c r="S1950" s="44"/>
      <c r="T1950" s="44"/>
      <c r="U1950" s="44"/>
      <c r="V1950" s="44"/>
      <c r="W1950" s="44"/>
      <c r="X1950" s="44"/>
      <c r="Y1950" s="44"/>
    </row>
    <row r="1951" spans="14:25" ht="15" customHeight="1" x14ac:dyDescent="0.25">
      <c r="N1951" s="44"/>
      <c r="O1951" s="44"/>
      <c r="P1951" s="44"/>
      <c r="Q1951" s="44"/>
      <c r="R1951" s="44"/>
      <c r="S1951" s="44"/>
      <c r="T1951" s="44"/>
      <c r="U1951" s="44"/>
      <c r="V1951" s="44"/>
      <c r="W1951" s="44"/>
      <c r="X1951" s="44"/>
      <c r="Y1951" s="44"/>
    </row>
    <row r="1952" spans="14:25" ht="15" customHeight="1" x14ac:dyDescent="0.25">
      <c r="N1952" s="44"/>
      <c r="O1952" s="44"/>
      <c r="P1952" s="44"/>
      <c r="Q1952" s="44"/>
      <c r="R1952" s="44"/>
      <c r="S1952" s="44"/>
      <c r="T1952" s="44"/>
      <c r="U1952" s="44"/>
      <c r="V1952" s="44"/>
      <c r="W1952" s="44"/>
      <c r="X1952" s="44"/>
      <c r="Y1952" s="44"/>
    </row>
    <row r="1953" spans="14:25" ht="15" customHeight="1" x14ac:dyDescent="0.25">
      <c r="N1953" s="44"/>
      <c r="O1953" s="44"/>
      <c r="P1953" s="44"/>
      <c r="Q1953" s="44"/>
      <c r="R1953" s="44"/>
      <c r="S1953" s="44"/>
      <c r="T1953" s="44"/>
      <c r="U1953" s="44"/>
      <c r="V1953" s="44"/>
      <c r="W1953" s="44"/>
      <c r="X1953" s="44"/>
      <c r="Y1953" s="44"/>
    </row>
    <row r="1954" spans="14:25" ht="15" customHeight="1" x14ac:dyDescent="0.25">
      <c r="N1954" s="44"/>
      <c r="O1954" s="44"/>
      <c r="P1954" s="44"/>
      <c r="Q1954" s="44"/>
      <c r="R1954" s="44"/>
      <c r="S1954" s="44"/>
      <c r="T1954" s="44"/>
      <c r="U1954" s="44"/>
      <c r="V1954" s="44"/>
      <c r="W1954" s="44"/>
      <c r="X1954" s="44"/>
      <c r="Y1954" s="44"/>
    </row>
    <row r="1955" spans="14:25" ht="15" customHeight="1" x14ac:dyDescent="0.25">
      <c r="N1955" s="44"/>
      <c r="O1955" s="44"/>
      <c r="P1955" s="44"/>
      <c r="Q1955" s="44"/>
      <c r="R1955" s="44"/>
      <c r="S1955" s="44"/>
      <c r="T1955" s="44"/>
      <c r="U1955" s="44"/>
      <c r="V1955" s="44"/>
      <c r="W1955" s="44"/>
      <c r="X1955" s="44"/>
      <c r="Y1955" s="44"/>
    </row>
    <row r="1956" spans="14:25" ht="15" customHeight="1" x14ac:dyDescent="0.25">
      <c r="N1956" s="44"/>
      <c r="O1956" s="44"/>
      <c r="P1956" s="44"/>
      <c r="Q1956" s="44"/>
      <c r="R1956" s="44"/>
      <c r="S1956" s="44"/>
      <c r="T1956" s="44"/>
      <c r="U1956" s="44"/>
      <c r="V1956" s="44"/>
      <c r="W1956" s="44"/>
      <c r="X1956" s="44"/>
      <c r="Y1956" s="44"/>
    </row>
    <row r="1957" spans="14:25" ht="15" customHeight="1" x14ac:dyDescent="0.25">
      <c r="N1957" s="44"/>
      <c r="O1957" s="44"/>
      <c r="P1957" s="44"/>
      <c r="Q1957" s="44"/>
      <c r="R1957" s="44"/>
      <c r="S1957" s="44"/>
      <c r="T1957" s="44"/>
      <c r="U1957" s="44"/>
      <c r="V1957" s="44"/>
      <c r="W1957" s="44"/>
      <c r="X1957" s="44"/>
      <c r="Y1957" s="44"/>
    </row>
    <row r="1958" spans="14:25" ht="15" customHeight="1" x14ac:dyDescent="0.25">
      <c r="N1958" s="44"/>
      <c r="O1958" s="44"/>
      <c r="P1958" s="44"/>
      <c r="Q1958" s="44"/>
      <c r="R1958" s="44"/>
      <c r="S1958" s="44"/>
      <c r="T1958" s="44"/>
      <c r="U1958" s="44"/>
      <c r="V1958" s="44"/>
      <c r="W1958" s="44"/>
      <c r="X1958" s="44"/>
      <c r="Y1958" s="44"/>
    </row>
    <row r="1959" spans="14:25" ht="15" customHeight="1" x14ac:dyDescent="0.25">
      <c r="N1959" s="44"/>
      <c r="O1959" s="44"/>
      <c r="P1959" s="44"/>
      <c r="Q1959" s="44"/>
      <c r="R1959" s="44"/>
      <c r="S1959" s="44"/>
      <c r="T1959" s="44"/>
      <c r="U1959" s="44"/>
      <c r="V1959" s="44"/>
      <c r="W1959" s="44"/>
      <c r="X1959" s="44"/>
      <c r="Y1959" s="44"/>
    </row>
    <row r="1960" spans="14:25" ht="15" customHeight="1" x14ac:dyDescent="0.25">
      <c r="N1960" s="44"/>
      <c r="O1960" s="44"/>
      <c r="P1960" s="44"/>
      <c r="Q1960" s="44"/>
      <c r="R1960" s="44"/>
      <c r="S1960" s="44"/>
      <c r="T1960" s="44"/>
      <c r="U1960" s="44"/>
      <c r="V1960" s="44"/>
      <c r="W1960" s="44"/>
      <c r="X1960" s="44"/>
      <c r="Y1960" s="44"/>
    </row>
    <row r="1961" spans="14:25" ht="15" customHeight="1" x14ac:dyDescent="0.25">
      <c r="N1961" s="44"/>
      <c r="O1961" s="44"/>
      <c r="P1961" s="44"/>
      <c r="Q1961" s="44"/>
      <c r="R1961" s="44"/>
      <c r="S1961" s="44"/>
      <c r="T1961" s="44"/>
      <c r="U1961" s="44"/>
      <c r="V1961" s="44"/>
      <c r="W1961" s="44"/>
      <c r="X1961" s="44"/>
      <c r="Y1961" s="44"/>
    </row>
    <row r="1962" spans="14:25" ht="15" customHeight="1" x14ac:dyDescent="0.25">
      <c r="N1962" s="44"/>
      <c r="O1962" s="44"/>
      <c r="P1962" s="44"/>
      <c r="Q1962" s="44"/>
      <c r="R1962" s="44"/>
      <c r="S1962" s="44"/>
      <c r="T1962" s="44"/>
      <c r="U1962" s="44"/>
      <c r="V1962" s="44"/>
      <c r="W1962" s="44"/>
      <c r="X1962" s="44"/>
      <c r="Y1962" s="44"/>
    </row>
    <row r="1963" spans="14:25" ht="15" customHeight="1" x14ac:dyDescent="0.25">
      <c r="N1963" s="44"/>
      <c r="O1963" s="44"/>
      <c r="P1963" s="44"/>
      <c r="Q1963" s="44"/>
      <c r="R1963" s="44"/>
      <c r="S1963" s="44"/>
      <c r="T1963" s="44"/>
      <c r="U1963" s="44"/>
      <c r="V1963" s="44"/>
      <c r="W1963" s="44"/>
      <c r="X1963" s="44"/>
      <c r="Y1963" s="44"/>
    </row>
    <row r="1964" spans="14:25" ht="15" customHeight="1" x14ac:dyDescent="0.25">
      <c r="N1964" s="44"/>
      <c r="O1964" s="44"/>
      <c r="P1964" s="44"/>
      <c r="Q1964" s="44"/>
      <c r="R1964" s="44"/>
      <c r="S1964" s="44"/>
      <c r="T1964" s="44"/>
      <c r="U1964" s="44"/>
      <c r="V1964" s="44"/>
      <c r="W1964" s="44"/>
      <c r="X1964" s="44"/>
      <c r="Y1964" s="44"/>
    </row>
    <row r="1965" spans="14:25" ht="15" customHeight="1" x14ac:dyDescent="0.25">
      <c r="N1965" s="44"/>
      <c r="O1965" s="44"/>
      <c r="P1965" s="44"/>
      <c r="Q1965" s="44"/>
      <c r="R1965" s="44"/>
      <c r="S1965" s="44"/>
      <c r="T1965" s="44"/>
      <c r="U1965" s="44"/>
      <c r="V1965" s="44"/>
      <c r="W1965" s="44"/>
      <c r="X1965" s="44"/>
      <c r="Y1965" s="44"/>
    </row>
    <row r="1966" spans="14:25" ht="15" customHeight="1" x14ac:dyDescent="0.25">
      <c r="N1966" s="44"/>
      <c r="O1966" s="44"/>
      <c r="P1966" s="44"/>
      <c r="Q1966" s="44"/>
      <c r="R1966" s="44"/>
      <c r="S1966" s="44"/>
      <c r="T1966" s="44"/>
      <c r="U1966" s="44"/>
      <c r="V1966" s="44"/>
      <c r="W1966" s="44"/>
      <c r="X1966" s="44"/>
      <c r="Y1966" s="44"/>
    </row>
    <row r="1967" spans="14:25" ht="15" customHeight="1" x14ac:dyDescent="0.25">
      <c r="N1967" s="44"/>
      <c r="O1967" s="44"/>
      <c r="P1967" s="44"/>
      <c r="Q1967" s="44"/>
      <c r="R1967" s="44"/>
      <c r="S1967" s="44"/>
      <c r="T1967" s="44"/>
      <c r="U1967" s="44"/>
      <c r="V1967" s="44"/>
      <c r="W1967" s="44"/>
      <c r="X1967" s="44"/>
      <c r="Y1967" s="44"/>
    </row>
    <row r="1968" spans="14:25" ht="15" customHeight="1" x14ac:dyDescent="0.25">
      <c r="N1968" s="44"/>
      <c r="O1968" s="44"/>
      <c r="P1968" s="44"/>
      <c r="Q1968" s="44"/>
      <c r="R1968" s="44"/>
      <c r="S1968" s="44"/>
      <c r="T1968" s="44"/>
      <c r="U1968" s="44"/>
      <c r="V1968" s="44"/>
      <c r="W1968" s="44"/>
      <c r="X1968" s="44"/>
      <c r="Y1968" s="44"/>
    </row>
    <row r="1969" spans="14:25" ht="15" customHeight="1" x14ac:dyDescent="0.25">
      <c r="N1969" s="44"/>
      <c r="O1969" s="44"/>
      <c r="P1969" s="44"/>
      <c r="Q1969" s="44"/>
      <c r="R1969" s="44"/>
      <c r="S1969" s="44"/>
      <c r="T1969" s="44"/>
      <c r="U1969" s="44"/>
      <c r="V1969" s="44"/>
      <c r="W1969" s="44"/>
      <c r="X1969" s="44"/>
      <c r="Y1969" s="44"/>
    </row>
    <row r="1970" spans="14:25" ht="15" customHeight="1" x14ac:dyDescent="0.25">
      <c r="N1970" s="44"/>
      <c r="O1970" s="44"/>
      <c r="P1970" s="44"/>
      <c r="Q1970" s="44"/>
      <c r="R1970" s="44"/>
      <c r="S1970" s="44"/>
      <c r="T1970" s="44"/>
      <c r="U1970" s="44"/>
      <c r="V1970" s="44"/>
      <c r="W1970" s="44"/>
      <c r="X1970" s="44"/>
      <c r="Y1970" s="44"/>
    </row>
    <row r="1971" spans="14:25" ht="15" customHeight="1" x14ac:dyDescent="0.25">
      <c r="N1971" s="44"/>
      <c r="O1971" s="44"/>
      <c r="P1971" s="44"/>
      <c r="Q1971" s="44"/>
      <c r="R1971" s="44"/>
      <c r="S1971" s="44"/>
      <c r="T1971" s="44"/>
      <c r="U1971" s="44"/>
      <c r="V1971" s="44"/>
      <c r="W1971" s="44"/>
      <c r="X1971" s="44"/>
      <c r="Y1971" s="44"/>
    </row>
    <row r="1972" spans="14:25" ht="15" customHeight="1" x14ac:dyDescent="0.25">
      <c r="N1972" s="44"/>
      <c r="O1972" s="44"/>
      <c r="P1972" s="44"/>
      <c r="Q1972" s="44"/>
      <c r="R1972" s="44"/>
      <c r="S1972" s="44"/>
      <c r="T1972" s="44"/>
      <c r="U1972" s="44"/>
      <c r="V1972" s="44"/>
      <c r="W1972" s="44"/>
      <c r="X1972" s="44"/>
      <c r="Y1972" s="44"/>
    </row>
    <row r="1973" spans="14:25" ht="15" customHeight="1" x14ac:dyDescent="0.25">
      <c r="N1973" s="44"/>
      <c r="O1973" s="44"/>
      <c r="P1973" s="44"/>
      <c r="Q1973" s="44"/>
      <c r="R1973" s="44"/>
      <c r="S1973" s="44"/>
      <c r="T1973" s="44"/>
      <c r="U1973" s="44"/>
      <c r="V1973" s="44"/>
      <c r="W1973" s="44"/>
      <c r="X1973" s="44"/>
      <c r="Y1973" s="44"/>
    </row>
    <row r="1974" spans="14:25" ht="15" customHeight="1" x14ac:dyDescent="0.25">
      <c r="N1974" s="44"/>
      <c r="O1974" s="44"/>
      <c r="P1974" s="44"/>
      <c r="Q1974" s="44"/>
      <c r="R1974" s="44"/>
      <c r="S1974" s="44"/>
      <c r="T1974" s="44"/>
      <c r="U1974" s="44"/>
      <c r="V1974" s="44"/>
      <c r="W1974" s="44"/>
      <c r="X1974" s="44"/>
      <c r="Y1974" s="44"/>
    </row>
    <row r="1975" spans="14:25" ht="15" customHeight="1" x14ac:dyDescent="0.25">
      <c r="N1975" s="44"/>
      <c r="O1975" s="44"/>
      <c r="P1975" s="44"/>
      <c r="Q1975" s="44"/>
      <c r="R1975" s="44"/>
      <c r="S1975" s="44"/>
      <c r="T1975" s="44"/>
      <c r="U1975" s="44"/>
      <c r="V1975" s="44"/>
      <c r="W1975" s="44"/>
      <c r="X1975" s="44"/>
      <c r="Y1975" s="44"/>
    </row>
    <row r="1976" spans="14:25" ht="15" customHeight="1" x14ac:dyDescent="0.25">
      <c r="N1976" s="44"/>
      <c r="O1976" s="44"/>
      <c r="P1976" s="44"/>
      <c r="Q1976" s="44"/>
      <c r="R1976" s="44"/>
      <c r="S1976" s="44"/>
      <c r="T1976" s="44"/>
      <c r="U1976" s="44"/>
      <c r="V1976" s="44"/>
      <c r="W1976" s="44"/>
      <c r="X1976" s="44"/>
      <c r="Y1976" s="44"/>
    </row>
    <row r="1977" spans="14:25" ht="15" customHeight="1" x14ac:dyDescent="0.25">
      <c r="N1977" s="44"/>
      <c r="O1977" s="44"/>
      <c r="P1977" s="44"/>
      <c r="Q1977" s="44"/>
      <c r="R1977" s="44"/>
      <c r="S1977" s="44"/>
      <c r="T1977" s="44"/>
      <c r="U1977" s="44"/>
      <c r="V1977" s="44"/>
      <c r="W1977" s="44"/>
      <c r="X1977" s="44"/>
      <c r="Y1977" s="44"/>
    </row>
    <row r="1978" spans="14:25" ht="15" customHeight="1" x14ac:dyDescent="0.25">
      <c r="N1978" s="44"/>
      <c r="O1978" s="44"/>
      <c r="P1978" s="44"/>
      <c r="Q1978" s="44"/>
      <c r="R1978" s="44"/>
      <c r="S1978" s="44"/>
      <c r="T1978" s="44"/>
      <c r="U1978" s="44"/>
      <c r="V1978" s="44"/>
      <c r="W1978" s="44"/>
      <c r="X1978" s="44"/>
      <c r="Y1978" s="44"/>
    </row>
    <row r="1979" spans="14:25" ht="15" customHeight="1" x14ac:dyDescent="0.25">
      <c r="N1979" s="44"/>
      <c r="O1979" s="44"/>
      <c r="P1979" s="44"/>
      <c r="Q1979" s="44"/>
      <c r="R1979" s="44"/>
      <c r="S1979" s="44"/>
      <c r="T1979" s="44"/>
      <c r="U1979" s="44"/>
      <c r="V1979" s="44"/>
      <c r="W1979" s="44"/>
      <c r="X1979" s="44"/>
      <c r="Y1979" s="44"/>
    </row>
    <row r="1980" spans="14:25" ht="15" customHeight="1" x14ac:dyDescent="0.25">
      <c r="N1980" s="44"/>
      <c r="O1980" s="44"/>
      <c r="P1980" s="44"/>
      <c r="Q1980" s="44"/>
      <c r="R1980" s="44"/>
      <c r="S1980" s="44"/>
      <c r="T1980" s="44"/>
      <c r="U1980" s="44"/>
      <c r="V1980" s="44"/>
      <c r="W1980" s="44"/>
      <c r="X1980" s="44"/>
      <c r="Y1980" s="44"/>
    </row>
    <row r="1981" spans="14:25" ht="15" customHeight="1" x14ac:dyDescent="0.25">
      <c r="N1981" s="44"/>
      <c r="O1981" s="44"/>
      <c r="P1981" s="44"/>
      <c r="Q1981" s="44"/>
      <c r="R1981" s="44"/>
      <c r="S1981" s="44"/>
      <c r="T1981" s="44"/>
      <c r="U1981" s="44"/>
      <c r="V1981" s="44"/>
      <c r="W1981" s="44"/>
      <c r="X1981" s="44"/>
      <c r="Y1981" s="44"/>
    </row>
    <row r="1982" spans="14:25" ht="15" customHeight="1" x14ac:dyDescent="0.25">
      <c r="N1982" s="44"/>
      <c r="O1982" s="44"/>
      <c r="P1982" s="44"/>
      <c r="Q1982" s="44"/>
      <c r="R1982" s="44"/>
      <c r="S1982" s="44"/>
      <c r="T1982" s="44"/>
      <c r="U1982" s="44"/>
      <c r="V1982" s="44"/>
      <c r="W1982" s="44"/>
      <c r="X1982" s="44"/>
      <c r="Y1982" s="44"/>
    </row>
    <row r="1983" spans="14:25" ht="15" customHeight="1" x14ac:dyDescent="0.25">
      <c r="N1983" s="44"/>
      <c r="O1983" s="44"/>
      <c r="P1983" s="44"/>
      <c r="Q1983" s="44"/>
      <c r="R1983" s="44"/>
      <c r="S1983" s="44"/>
      <c r="T1983" s="44"/>
      <c r="U1983" s="44"/>
      <c r="V1983" s="44"/>
      <c r="W1983" s="44"/>
      <c r="X1983" s="44"/>
      <c r="Y1983" s="44"/>
    </row>
    <row r="1984" spans="14:25" ht="15" customHeight="1" x14ac:dyDescent="0.25">
      <c r="N1984" s="44"/>
      <c r="O1984" s="44"/>
      <c r="P1984" s="44"/>
      <c r="Q1984" s="44"/>
      <c r="R1984" s="44"/>
      <c r="S1984" s="44"/>
      <c r="T1984" s="44"/>
      <c r="U1984" s="44"/>
      <c r="V1984" s="44"/>
      <c r="W1984" s="44"/>
      <c r="X1984" s="44"/>
      <c r="Y1984" s="44"/>
    </row>
    <row r="1985" spans="14:25" ht="15" customHeight="1" x14ac:dyDescent="0.25">
      <c r="N1985" s="44"/>
      <c r="O1985" s="44"/>
      <c r="P1985" s="44"/>
      <c r="Q1985" s="44"/>
      <c r="R1985" s="44"/>
      <c r="S1985" s="44"/>
      <c r="T1985" s="44"/>
      <c r="U1985" s="44"/>
      <c r="V1985" s="44"/>
      <c r="W1985" s="44"/>
      <c r="X1985" s="44"/>
      <c r="Y1985" s="44"/>
    </row>
    <row r="1986" spans="14:25" ht="15" customHeight="1" x14ac:dyDescent="0.25">
      <c r="N1986" s="44"/>
      <c r="O1986" s="44"/>
      <c r="P1986" s="44"/>
      <c r="Q1986" s="44"/>
      <c r="R1986" s="44"/>
      <c r="S1986" s="44"/>
      <c r="T1986" s="44"/>
      <c r="U1986" s="44"/>
      <c r="V1986" s="44"/>
      <c r="W1986" s="44"/>
      <c r="X1986" s="44"/>
      <c r="Y1986" s="44"/>
    </row>
    <row r="1987" spans="14:25" ht="15" customHeight="1" x14ac:dyDescent="0.25">
      <c r="N1987" s="44"/>
      <c r="O1987" s="44"/>
      <c r="P1987" s="44"/>
      <c r="Q1987" s="44"/>
      <c r="R1987" s="44"/>
      <c r="S1987" s="44"/>
      <c r="T1987" s="44"/>
      <c r="U1987" s="44"/>
      <c r="V1987" s="44"/>
      <c r="W1987" s="44"/>
      <c r="X1987" s="44"/>
      <c r="Y1987" s="44"/>
    </row>
    <row r="1988" spans="14:25" ht="15" customHeight="1" x14ac:dyDescent="0.25">
      <c r="N1988" s="44"/>
      <c r="O1988" s="44"/>
      <c r="P1988" s="44"/>
      <c r="Q1988" s="44"/>
      <c r="R1988" s="44"/>
      <c r="S1988" s="44"/>
      <c r="T1988" s="44"/>
      <c r="U1988" s="44"/>
      <c r="V1988" s="44"/>
      <c r="W1988" s="44"/>
      <c r="X1988" s="44"/>
      <c r="Y1988" s="44"/>
    </row>
    <row r="1989" spans="14:25" ht="15" customHeight="1" x14ac:dyDescent="0.25">
      <c r="N1989" s="44"/>
      <c r="O1989" s="44"/>
      <c r="P1989" s="44"/>
      <c r="Q1989" s="44"/>
      <c r="R1989" s="44"/>
      <c r="S1989" s="44"/>
      <c r="T1989" s="44"/>
      <c r="U1989" s="44"/>
      <c r="V1989" s="44"/>
      <c r="W1989" s="44"/>
      <c r="X1989" s="44"/>
      <c r="Y1989" s="44"/>
    </row>
    <row r="1990" spans="14:25" ht="15" customHeight="1" x14ac:dyDescent="0.25">
      <c r="N1990" s="44"/>
      <c r="O1990" s="44"/>
      <c r="P1990" s="44"/>
      <c r="Q1990" s="44"/>
      <c r="R1990" s="44"/>
      <c r="S1990" s="44"/>
      <c r="T1990" s="44"/>
      <c r="U1990" s="44"/>
      <c r="V1990" s="44"/>
      <c r="W1990" s="44"/>
      <c r="X1990" s="44"/>
      <c r="Y1990" s="44"/>
    </row>
    <row r="1991" spans="14:25" ht="15" customHeight="1" x14ac:dyDescent="0.25"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44"/>
      <c r="Y1991" s="44"/>
    </row>
    <row r="1992" spans="14:25" ht="15" customHeight="1" x14ac:dyDescent="0.25">
      <c r="N1992" s="44"/>
      <c r="O1992" s="44"/>
      <c r="P1992" s="44"/>
      <c r="Q1992" s="44"/>
      <c r="R1992" s="44"/>
      <c r="S1992" s="44"/>
      <c r="T1992" s="44"/>
      <c r="U1992" s="44"/>
      <c r="V1992" s="44"/>
      <c r="W1992" s="44"/>
      <c r="X1992" s="44"/>
      <c r="Y1992" s="44"/>
    </row>
    <row r="1993" spans="14:25" ht="15" customHeight="1" x14ac:dyDescent="0.25">
      <c r="N1993" s="44"/>
      <c r="O1993" s="44"/>
      <c r="P1993" s="44"/>
      <c r="Q1993" s="44"/>
      <c r="R1993" s="44"/>
      <c r="S1993" s="44"/>
      <c r="T1993" s="44"/>
      <c r="U1993" s="44"/>
      <c r="V1993" s="44"/>
      <c r="W1993" s="44"/>
      <c r="X1993" s="44"/>
      <c r="Y1993" s="44"/>
    </row>
    <row r="1994" spans="14:25" ht="15" customHeight="1" x14ac:dyDescent="0.25">
      <c r="N1994" s="44"/>
      <c r="O1994" s="44"/>
      <c r="P1994" s="44"/>
      <c r="Q1994" s="44"/>
      <c r="R1994" s="44"/>
      <c r="S1994" s="44"/>
      <c r="T1994" s="44"/>
      <c r="U1994" s="44"/>
      <c r="V1994" s="44"/>
      <c r="W1994" s="44"/>
      <c r="X1994" s="44"/>
      <c r="Y1994" s="44"/>
    </row>
    <row r="1995" spans="14:25" ht="15" customHeight="1" x14ac:dyDescent="0.25"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44"/>
      <c r="Y1995" s="44"/>
    </row>
    <row r="1996" spans="14:25" ht="15" customHeight="1" x14ac:dyDescent="0.25"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44"/>
      <c r="Y1996" s="44"/>
    </row>
    <row r="1997" spans="14:25" ht="15" customHeight="1" x14ac:dyDescent="0.25"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</row>
    <row r="1998" spans="14:25" ht="15" customHeight="1" x14ac:dyDescent="0.25"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</row>
    <row r="1999" spans="14:25" ht="15" customHeight="1" x14ac:dyDescent="0.25"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44"/>
      <c r="Y1999" s="44"/>
    </row>
    <row r="2000" spans="14:25" ht="15" customHeight="1" x14ac:dyDescent="0.25"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44"/>
      <c r="Y2000" s="44"/>
    </row>
    <row r="2001" spans="14:25" ht="15" customHeight="1" x14ac:dyDescent="0.25"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44"/>
      <c r="Y2001" s="44"/>
    </row>
    <row r="2002" spans="14:25" ht="15" customHeight="1" x14ac:dyDescent="0.25"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44"/>
      <c r="Y2002" s="44"/>
    </row>
    <row r="2003" spans="14:25" ht="15" customHeight="1" x14ac:dyDescent="0.25"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44"/>
      <c r="Y2003" s="44"/>
    </row>
    <row r="2004" spans="14:25" ht="15" customHeight="1" x14ac:dyDescent="0.25"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44"/>
      <c r="Y2004" s="44"/>
    </row>
    <row r="2005" spans="14:25" ht="15" customHeight="1" x14ac:dyDescent="0.25"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44"/>
      <c r="Y2005" s="44"/>
    </row>
    <row r="2006" spans="14:25" ht="15" customHeight="1" x14ac:dyDescent="0.25"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44"/>
      <c r="Y2006" s="44"/>
    </row>
    <row r="2007" spans="14:25" ht="15" customHeight="1" x14ac:dyDescent="0.25"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44"/>
      <c r="Y2007" s="44"/>
    </row>
    <row r="2008" spans="14:25" ht="15" customHeight="1" x14ac:dyDescent="0.25"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44"/>
      <c r="Y2008" s="44"/>
    </row>
    <row r="2009" spans="14:25" ht="15" customHeight="1" x14ac:dyDescent="0.25"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44"/>
      <c r="Y2009" s="44"/>
    </row>
    <row r="2010" spans="14:25" ht="15" customHeight="1" x14ac:dyDescent="0.25"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44"/>
      <c r="Y2010" s="44"/>
    </row>
    <row r="2011" spans="14:25" ht="15" customHeight="1" x14ac:dyDescent="0.25"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44"/>
      <c r="Y2011" s="44"/>
    </row>
    <row r="2012" spans="14:25" ht="15" customHeight="1" x14ac:dyDescent="0.25"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44"/>
      <c r="Y2012" s="44"/>
    </row>
    <row r="2013" spans="14:25" ht="15" customHeight="1" x14ac:dyDescent="0.25"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44"/>
      <c r="Y2013" s="44"/>
    </row>
    <row r="2014" spans="14:25" ht="15" customHeight="1" x14ac:dyDescent="0.25"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44"/>
      <c r="Y2014" s="44"/>
    </row>
    <row r="2015" spans="14:25" ht="15" customHeight="1" x14ac:dyDescent="0.25"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44"/>
      <c r="Y2015" s="44"/>
    </row>
    <row r="2016" spans="14:25" ht="15" customHeight="1" x14ac:dyDescent="0.25"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44"/>
      <c r="Y2016" s="44"/>
    </row>
    <row r="2017" spans="14:25" ht="15" customHeight="1" x14ac:dyDescent="0.25"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44"/>
      <c r="Y2017" s="44"/>
    </row>
    <row r="2018" spans="14:25" ht="15" customHeight="1" x14ac:dyDescent="0.25"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44"/>
      <c r="Y2018" s="44"/>
    </row>
    <row r="2019" spans="14:25" ht="15" customHeight="1" x14ac:dyDescent="0.25"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44"/>
      <c r="Y2019" s="44"/>
    </row>
    <row r="2020" spans="14:25" ht="15" customHeight="1" x14ac:dyDescent="0.25"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44"/>
      <c r="Y2020" s="44"/>
    </row>
    <row r="2021" spans="14:25" ht="15" customHeight="1" x14ac:dyDescent="0.25"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44"/>
      <c r="Y2021" s="44"/>
    </row>
    <row r="2022" spans="14:25" ht="15" customHeight="1" x14ac:dyDescent="0.25"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44"/>
      <c r="Y2022" s="44"/>
    </row>
    <row r="2023" spans="14:25" ht="15" customHeight="1" x14ac:dyDescent="0.25">
      <c r="N2023" s="44"/>
      <c r="O2023" s="44"/>
      <c r="P2023" s="44"/>
      <c r="Q2023" s="44"/>
      <c r="R2023" s="44"/>
      <c r="S2023" s="44"/>
      <c r="T2023" s="44"/>
      <c r="U2023" s="44"/>
      <c r="V2023" s="44"/>
      <c r="W2023" s="44"/>
      <c r="X2023" s="44"/>
      <c r="Y2023" s="44"/>
    </row>
    <row r="2024" spans="14:25" ht="15" customHeight="1" x14ac:dyDescent="0.25">
      <c r="N2024" s="44"/>
      <c r="O2024" s="44"/>
      <c r="P2024" s="44"/>
      <c r="Q2024" s="44"/>
      <c r="R2024" s="44"/>
      <c r="S2024" s="44"/>
      <c r="T2024" s="44"/>
      <c r="U2024" s="44"/>
      <c r="V2024" s="44"/>
      <c r="W2024" s="44"/>
      <c r="X2024" s="44"/>
      <c r="Y2024" s="44"/>
    </row>
    <row r="2025" spans="14:25" ht="15" customHeight="1" x14ac:dyDescent="0.25">
      <c r="N2025" s="44"/>
      <c r="O2025" s="44"/>
      <c r="P2025" s="44"/>
      <c r="Q2025" s="44"/>
      <c r="R2025" s="44"/>
      <c r="S2025" s="44"/>
      <c r="T2025" s="44"/>
      <c r="U2025" s="44"/>
      <c r="V2025" s="44"/>
      <c r="W2025" s="44"/>
      <c r="X2025" s="44"/>
      <c r="Y2025" s="44"/>
    </row>
    <row r="2026" spans="14:25" ht="15" customHeight="1" x14ac:dyDescent="0.25">
      <c r="N2026" s="44"/>
      <c r="O2026" s="44"/>
      <c r="P2026" s="44"/>
      <c r="Q2026" s="44"/>
      <c r="R2026" s="44"/>
      <c r="S2026" s="44"/>
      <c r="T2026" s="44"/>
      <c r="U2026" s="44"/>
      <c r="V2026" s="44"/>
      <c r="W2026" s="44"/>
      <c r="X2026" s="44"/>
      <c r="Y2026" s="44"/>
    </row>
    <row r="2027" spans="14:25" ht="15" customHeight="1" x14ac:dyDescent="0.25">
      <c r="N2027" s="44"/>
      <c r="O2027" s="44"/>
      <c r="P2027" s="44"/>
      <c r="Q2027" s="44"/>
      <c r="R2027" s="44"/>
      <c r="S2027" s="44"/>
      <c r="T2027" s="44"/>
      <c r="U2027" s="44"/>
      <c r="V2027" s="44"/>
      <c r="W2027" s="44"/>
      <c r="X2027" s="44"/>
      <c r="Y2027" s="44"/>
    </row>
    <row r="2028" spans="14:25" ht="15" customHeight="1" x14ac:dyDescent="0.25"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44"/>
      <c r="Y2028" s="44"/>
    </row>
    <row r="2029" spans="14:25" ht="15" customHeight="1" x14ac:dyDescent="0.25"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44"/>
      <c r="Y2029" s="44"/>
    </row>
    <row r="2030" spans="14:25" ht="15" customHeight="1" x14ac:dyDescent="0.25"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44"/>
      <c r="Y2030" s="44"/>
    </row>
    <row r="2031" spans="14:25" ht="15" customHeight="1" x14ac:dyDescent="0.25"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44"/>
      <c r="Y2031" s="44"/>
    </row>
    <row r="2032" spans="14:25" ht="15" customHeight="1" x14ac:dyDescent="0.25"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44"/>
      <c r="Y2032" s="44"/>
    </row>
    <row r="2033" spans="14:25" ht="15" customHeight="1" x14ac:dyDescent="0.25"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44"/>
      <c r="Y2033" s="44"/>
    </row>
    <row r="2034" spans="14:25" ht="15" customHeight="1" x14ac:dyDescent="0.25"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</row>
    <row r="2035" spans="14:25" ht="15" customHeight="1" x14ac:dyDescent="0.25"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</row>
    <row r="2036" spans="14:25" ht="15" customHeight="1" x14ac:dyDescent="0.25"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</row>
    <row r="2037" spans="14:25" ht="15" customHeight="1" x14ac:dyDescent="0.25"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</row>
    <row r="2038" spans="14:25" ht="15" customHeight="1" x14ac:dyDescent="0.25"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</row>
    <row r="2039" spans="14:25" ht="15" customHeight="1" x14ac:dyDescent="0.25"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</row>
    <row r="2040" spans="14:25" ht="15" customHeight="1" x14ac:dyDescent="0.25"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</row>
    <row r="2041" spans="14:25" ht="15" customHeight="1" x14ac:dyDescent="0.25"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</row>
    <row r="2042" spans="14:25" ht="15" customHeight="1" x14ac:dyDescent="0.25"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</row>
    <row r="2043" spans="14:25" ht="15" customHeight="1" x14ac:dyDescent="0.25"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</row>
    <row r="2044" spans="14:25" ht="15" customHeight="1" x14ac:dyDescent="0.25"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</row>
    <row r="2045" spans="14:25" ht="15" customHeight="1" x14ac:dyDescent="0.25"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</row>
    <row r="2046" spans="14:25" ht="15" customHeight="1" x14ac:dyDescent="0.25"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</row>
    <row r="2047" spans="14:25" ht="15" customHeight="1" x14ac:dyDescent="0.25"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</row>
    <row r="2048" spans="14:25" ht="15" customHeight="1" x14ac:dyDescent="0.25"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</row>
    <row r="2049" spans="14:25" ht="15" customHeight="1" x14ac:dyDescent="0.25"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</row>
    <row r="2050" spans="14:25" ht="15" customHeight="1" x14ac:dyDescent="0.25"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</row>
    <row r="2051" spans="14:25" ht="15" customHeight="1" x14ac:dyDescent="0.25"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</row>
    <row r="2052" spans="14:25" ht="15" customHeight="1" x14ac:dyDescent="0.25"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</row>
    <row r="2053" spans="14:25" ht="15" customHeight="1" x14ac:dyDescent="0.25"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</row>
    <row r="2054" spans="14:25" ht="15" customHeight="1" x14ac:dyDescent="0.25"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</row>
    <row r="2055" spans="14:25" ht="15" customHeight="1" x14ac:dyDescent="0.25"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44"/>
      <c r="Y2055" s="44"/>
    </row>
    <row r="2056" spans="14:25" ht="15" customHeight="1" x14ac:dyDescent="0.25"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44"/>
      <c r="Y2056" s="44"/>
    </row>
    <row r="2057" spans="14:25" ht="15" customHeight="1" x14ac:dyDescent="0.25"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44"/>
      <c r="Y2057" s="44"/>
    </row>
    <row r="2058" spans="14:25" ht="15" customHeight="1" x14ac:dyDescent="0.25"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44"/>
      <c r="Y2058" s="44"/>
    </row>
    <row r="2059" spans="14:25" ht="15" customHeight="1" x14ac:dyDescent="0.25"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44"/>
      <c r="Y2059" s="44"/>
    </row>
    <row r="2060" spans="14:25" ht="15" customHeight="1" x14ac:dyDescent="0.25"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44"/>
      <c r="Y2060" s="44"/>
    </row>
    <row r="2061" spans="14:25" ht="15" customHeight="1" x14ac:dyDescent="0.25">
      <c r="N2061" s="44"/>
      <c r="O2061" s="44"/>
      <c r="P2061" s="44"/>
      <c r="Q2061" s="44"/>
      <c r="R2061" s="44"/>
      <c r="S2061" s="44"/>
      <c r="T2061" s="44"/>
      <c r="U2061" s="44"/>
      <c r="V2061" s="44"/>
      <c r="W2061" s="44"/>
      <c r="X2061" s="44"/>
      <c r="Y2061" s="44"/>
    </row>
    <row r="2062" spans="14:25" ht="15" customHeight="1" x14ac:dyDescent="0.25">
      <c r="N2062" s="44"/>
      <c r="O2062" s="44"/>
      <c r="P2062" s="44"/>
      <c r="Q2062" s="44"/>
      <c r="R2062" s="44"/>
      <c r="S2062" s="44"/>
      <c r="T2062" s="44"/>
      <c r="U2062" s="44"/>
      <c r="V2062" s="44"/>
      <c r="W2062" s="44"/>
      <c r="X2062" s="44"/>
      <c r="Y2062" s="44"/>
    </row>
    <row r="2063" spans="14:25" ht="15" customHeight="1" x14ac:dyDescent="0.25">
      <c r="N2063" s="44"/>
      <c r="O2063" s="44"/>
      <c r="P2063" s="44"/>
      <c r="Q2063" s="44"/>
      <c r="R2063" s="44"/>
      <c r="S2063" s="44"/>
      <c r="T2063" s="44"/>
      <c r="U2063" s="44"/>
      <c r="V2063" s="44"/>
      <c r="W2063" s="44"/>
      <c r="X2063" s="44"/>
      <c r="Y2063" s="44"/>
    </row>
    <row r="2064" spans="14:25" ht="15" customHeight="1" x14ac:dyDescent="0.25">
      <c r="N2064" s="44"/>
      <c r="O2064" s="44"/>
      <c r="P2064" s="44"/>
      <c r="Q2064" s="44"/>
      <c r="R2064" s="44"/>
      <c r="S2064" s="44"/>
      <c r="T2064" s="44"/>
      <c r="U2064" s="44"/>
      <c r="V2064" s="44"/>
      <c r="W2064" s="44"/>
      <c r="X2064" s="44"/>
      <c r="Y2064" s="44"/>
    </row>
    <row r="2065" spans="14:25" ht="15" customHeight="1" x14ac:dyDescent="0.25">
      <c r="N2065" s="44"/>
      <c r="O2065" s="44"/>
      <c r="P2065" s="44"/>
      <c r="Q2065" s="44"/>
      <c r="R2065" s="44"/>
      <c r="S2065" s="44"/>
      <c r="T2065" s="44"/>
      <c r="U2065" s="44"/>
      <c r="V2065" s="44"/>
      <c r="W2065" s="44"/>
      <c r="X2065" s="44"/>
      <c r="Y2065" s="44"/>
    </row>
    <row r="2066" spans="14:25" ht="15" customHeight="1" x14ac:dyDescent="0.25">
      <c r="N2066" s="44"/>
      <c r="O2066" s="44"/>
      <c r="P2066" s="44"/>
      <c r="Q2066" s="44"/>
      <c r="R2066" s="44"/>
      <c r="S2066" s="44"/>
      <c r="T2066" s="44"/>
      <c r="U2066" s="44"/>
      <c r="V2066" s="44"/>
      <c r="W2066" s="44"/>
      <c r="X2066" s="44"/>
      <c r="Y2066" s="44"/>
    </row>
    <row r="2067" spans="14:25" ht="15" customHeight="1" x14ac:dyDescent="0.25">
      <c r="N2067" s="44"/>
      <c r="O2067" s="44"/>
      <c r="P2067" s="44"/>
      <c r="Q2067" s="44"/>
      <c r="R2067" s="44"/>
      <c r="S2067" s="44"/>
      <c r="T2067" s="44"/>
      <c r="U2067" s="44"/>
      <c r="V2067" s="44"/>
      <c r="W2067" s="44"/>
      <c r="X2067" s="44"/>
      <c r="Y2067" s="44"/>
    </row>
    <row r="2068" spans="14:25" ht="15" customHeight="1" x14ac:dyDescent="0.25">
      <c r="N2068" s="44"/>
      <c r="O2068" s="44"/>
      <c r="P2068" s="44"/>
      <c r="Q2068" s="44"/>
      <c r="R2068" s="44"/>
      <c r="S2068" s="44"/>
      <c r="T2068" s="44"/>
      <c r="U2068" s="44"/>
      <c r="V2068" s="44"/>
      <c r="W2068" s="44"/>
      <c r="X2068" s="44"/>
      <c r="Y2068" s="44"/>
    </row>
    <row r="2069" spans="14:25" ht="15" customHeight="1" x14ac:dyDescent="0.25">
      <c r="N2069" s="44"/>
      <c r="O2069" s="44"/>
      <c r="P2069" s="44"/>
      <c r="Q2069" s="44"/>
      <c r="R2069" s="44"/>
      <c r="S2069" s="44"/>
      <c r="T2069" s="44"/>
      <c r="U2069" s="44"/>
      <c r="V2069" s="44"/>
      <c r="W2069" s="44"/>
      <c r="X2069" s="44"/>
      <c r="Y2069" s="44"/>
    </row>
    <row r="2070" spans="14:25" ht="15" customHeight="1" x14ac:dyDescent="0.25">
      <c r="N2070" s="44"/>
      <c r="O2070" s="44"/>
      <c r="P2070" s="44"/>
      <c r="Q2070" s="44"/>
      <c r="R2070" s="44"/>
      <c r="S2070" s="44"/>
      <c r="T2070" s="44"/>
      <c r="U2070" s="44"/>
      <c r="V2070" s="44"/>
      <c r="W2070" s="44"/>
      <c r="X2070" s="44"/>
      <c r="Y2070" s="44"/>
    </row>
    <row r="2071" spans="14:25" ht="15" customHeight="1" x14ac:dyDescent="0.25">
      <c r="N2071" s="44"/>
      <c r="O2071" s="44"/>
      <c r="P2071" s="44"/>
      <c r="Q2071" s="44"/>
      <c r="R2071" s="44"/>
      <c r="S2071" s="44"/>
      <c r="T2071" s="44"/>
      <c r="U2071" s="44"/>
      <c r="V2071" s="44"/>
      <c r="W2071" s="44"/>
      <c r="X2071" s="44"/>
      <c r="Y2071" s="44"/>
    </row>
    <row r="2072" spans="14:25" ht="15" customHeight="1" x14ac:dyDescent="0.25">
      <c r="N2072" s="44"/>
      <c r="O2072" s="44"/>
      <c r="P2072" s="44"/>
      <c r="Q2072" s="44"/>
      <c r="R2072" s="44"/>
      <c r="S2072" s="44"/>
      <c r="T2072" s="44"/>
      <c r="U2072" s="44"/>
      <c r="V2072" s="44"/>
      <c r="W2072" s="44"/>
      <c r="X2072" s="44"/>
      <c r="Y2072" s="44"/>
    </row>
    <row r="2073" spans="14:25" ht="15" customHeight="1" x14ac:dyDescent="0.25"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44"/>
      <c r="Y2073" s="44"/>
    </row>
    <row r="2074" spans="14:25" ht="15" customHeight="1" x14ac:dyDescent="0.25"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44"/>
      <c r="Y2074" s="44"/>
    </row>
    <row r="2075" spans="14:25" ht="15" customHeight="1" x14ac:dyDescent="0.25"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44"/>
      <c r="Y2075" s="44"/>
    </row>
    <row r="2076" spans="14:25" ht="15" customHeight="1" x14ac:dyDescent="0.25"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44"/>
      <c r="Y2076" s="44"/>
    </row>
    <row r="2077" spans="14:25" ht="15" customHeight="1" x14ac:dyDescent="0.25"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44"/>
      <c r="Y2077" s="44"/>
    </row>
    <row r="2078" spans="14:25" ht="15" customHeight="1" x14ac:dyDescent="0.25"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</row>
    <row r="2079" spans="14:25" ht="15" customHeight="1" x14ac:dyDescent="0.25"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44"/>
      <c r="Y2079" s="44"/>
    </row>
    <row r="2080" spans="14:25" ht="15" customHeight="1" x14ac:dyDescent="0.25"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44"/>
      <c r="Y2080" s="44"/>
    </row>
    <row r="2081" spans="14:25" ht="15" customHeight="1" x14ac:dyDescent="0.25"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44"/>
      <c r="Y2081" s="44"/>
    </row>
    <row r="2082" spans="14:25" ht="15" customHeight="1" x14ac:dyDescent="0.25"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44"/>
      <c r="Y2082" s="44"/>
    </row>
    <row r="2083" spans="14:25" ht="15" customHeight="1" x14ac:dyDescent="0.25"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44"/>
      <c r="Y2083" s="44"/>
    </row>
    <row r="2084" spans="14:25" ht="15" customHeight="1" x14ac:dyDescent="0.25"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44"/>
      <c r="Y2084" s="44"/>
    </row>
    <row r="2085" spans="14:25" ht="15" customHeight="1" x14ac:dyDescent="0.25"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44"/>
      <c r="Y2085" s="44"/>
    </row>
    <row r="2086" spans="14:25" ht="15" customHeight="1" x14ac:dyDescent="0.25"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44"/>
      <c r="Y2086" s="44"/>
    </row>
    <row r="2087" spans="14:25" ht="15" customHeight="1" x14ac:dyDescent="0.25"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44"/>
      <c r="Y2087" s="44"/>
    </row>
    <row r="2088" spans="14:25" ht="15" customHeight="1" x14ac:dyDescent="0.25"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44"/>
      <c r="Y2088" s="44"/>
    </row>
    <row r="2089" spans="14:25" ht="15" customHeight="1" x14ac:dyDescent="0.25"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44"/>
      <c r="Y2089" s="44"/>
    </row>
    <row r="2090" spans="14:25" ht="15" customHeight="1" x14ac:dyDescent="0.25"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44"/>
      <c r="Y2090" s="44"/>
    </row>
    <row r="2091" spans="14:25" ht="15" customHeight="1" x14ac:dyDescent="0.25"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44"/>
      <c r="Y2091" s="44"/>
    </row>
    <row r="2092" spans="14:25" ht="15" customHeight="1" x14ac:dyDescent="0.25"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44"/>
      <c r="Y2092" s="44"/>
    </row>
    <row r="2093" spans="14:25" ht="15" customHeight="1" x14ac:dyDescent="0.25"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44"/>
      <c r="Y2093" s="44"/>
    </row>
    <row r="2094" spans="14:25" ht="15" customHeight="1" x14ac:dyDescent="0.25"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44"/>
      <c r="Y2094" s="44"/>
    </row>
    <row r="2095" spans="14:25" ht="15" customHeight="1" x14ac:dyDescent="0.25"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44"/>
      <c r="Y2095" s="44"/>
    </row>
    <row r="2096" spans="14:25" ht="15" customHeight="1" x14ac:dyDescent="0.25"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44"/>
      <c r="Y2096" s="44"/>
    </row>
    <row r="2097" spans="14:25" ht="15" customHeight="1" x14ac:dyDescent="0.25"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44"/>
      <c r="Y2097" s="44"/>
    </row>
    <row r="2098" spans="14:25" ht="15" customHeight="1" x14ac:dyDescent="0.25"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44"/>
      <c r="Y2098" s="44"/>
    </row>
    <row r="2099" spans="14:25" ht="15" customHeight="1" x14ac:dyDescent="0.25"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44"/>
      <c r="Y2099" s="44"/>
    </row>
    <row r="2100" spans="14:25" ht="15" customHeight="1" x14ac:dyDescent="0.25">
      <c r="N2100" s="44"/>
      <c r="O2100" s="44"/>
      <c r="P2100" s="44"/>
      <c r="Q2100" s="44"/>
      <c r="R2100" s="44"/>
      <c r="S2100" s="44"/>
      <c r="T2100" s="44"/>
      <c r="U2100" s="44"/>
      <c r="V2100" s="44"/>
      <c r="W2100" s="44"/>
      <c r="X2100" s="44"/>
      <c r="Y2100" s="44"/>
    </row>
    <row r="2101" spans="14:25" ht="15" customHeight="1" x14ac:dyDescent="0.25">
      <c r="N2101" s="44"/>
      <c r="O2101" s="44"/>
      <c r="P2101" s="44"/>
      <c r="Q2101" s="44"/>
      <c r="R2101" s="44"/>
      <c r="S2101" s="44"/>
      <c r="T2101" s="44"/>
      <c r="U2101" s="44"/>
      <c r="V2101" s="44"/>
      <c r="W2101" s="44"/>
      <c r="X2101" s="44"/>
      <c r="Y2101" s="44"/>
    </row>
    <row r="2102" spans="14:25" ht="15" customHeight="1" x14ac:dyDescent="0.25">
      <c r="N2102" s="44"/>
      <c r="O2102" s="44"/>
      <c r="P2102" s="44"/>
      <c r="Q2102" s="44"/>
      <c r="R2102" s="44"/>
      <c r="S2102" s="44"/>
      <c r="T2102" s="44"/>
      <c r="U2102" s="44"/>
      <c r="V2102" s="44"/>
      <c r="W2102" s="44"/>
      <c r="X2102" s="44"/>
      <c r="Y2102" s="44"/>
    </row>
    <row r="2103" spans="14:25" ht="15" customHeight="1" x14ac:dyDescent="0.25">
      <c r="N2103" s="44"/>
      <c r="O2103" s="44"/>
      <c r="P2103" s="44"/>
      <c r="Q2103" s="44"/>
      <c r="R2103" s="44"/>
      <c r="S2103" s="44"/>
      <c r="T2103" s="44"/>
      <c r="U2103" s="44"/>
      <c r="V2103" s="44"/>
      <c r="W2103" s="44"/>
      <c r="X2103" s="44"/>
      <c r="Y2103" s="44"/>
    </row>
    <row r="2104" spans="14:25" ht="15" customHeight="1" x14ac:dyDescent="0.25">
      <c r="N2104" s="44"/>
      <c r="O2104" s="44"/>
      <c r="P2104" s="44"/>
      <c r="Q2104" s="44"/>
      <c r="R2104" s="44"/>
      <c r="S2104" s="44"/>
      <c r="T2104" s="44"/>
      <c r="U2104" s="44"/>
      <c r="V2104" s="44"/>
      <c r="W2104" s="44"/>
      <c r="X2104" s="44"/>
      <c r="Y2104" s="44"/>
    </row>
    <row r="2105" spans="14:25" ht="15" customHeight="1" x14ac:dyDescent="0.25">
      <c r="N2105" s="44"/>
      <c r="O2105" s="44"/>
      <c r="P2105" s="44"/>
      <c r="Q2105" s="44"/>
      <c r="R2105" s="44"/>
      <c r="S2105" s="44"/>
      <c r="T2105" s="44"/>
      <c r="U2105" s="44"/>
      <c r="V2105" s="44"/>
      <c r="W2105" s="44"/>
      <c r="X2105" s="44"/>
      <c r="Y2105" s="44"/>
    </row>
    <row r="2106" spans="14:25" ht="15" customHeight="1" x14ac:dyDescent="0.25">
      <c r="N2106" s="44"/>
      <c r="O2106" s="44"/>
      <c r="P2106" s="44"/>
      <c r="Q2106" s="44"/>
      <c r="R2106" s="44"/>
      <c r="S2106" s="44"/>
      <c r="T2106" s="44"/>
      <c r="U2106" s="44"/>
      <c r="V2106" s="44"/>
      <c r="W2106" s="44"/>
      <c r="X2106" s="44"/>
      <c r="Y2106" s="44"/>
    </row>
    <row r="2107" spans="14:25" ht="15" customHeight="1" x14ac:dyDescent="0.25">
      <c r="N2107" s="44"/>
      <c r="O2107" s="44"/>
      <c r="P2107" s="44"/>
      <c r="Q2107" s="44"/>
      <c r="R2107" s="44"/>
      <c r="S2107" s="44"/>
      <c r="T2107" s="44"/>
      <c r="U2107" s="44"/>
      <c r="V2107" s="44"/>
      <c r="W2107" s="44"/>
      <c r="X2107" s="44"/>
      <c r="Y2107" s="44"/>
    </row>
    <row r="2108" spans="14:25" ht="15" customHeight="1" x14ac:dyDescent="0.25">
      <c r="N2108" s="44"/>
      <c r="O2108" s="44"/>
      <c r="P2108" s="44"/>
      <c r="Q2108" s="44"/>
      <c r="R2108" s="44"/>
      <c r="S2108" s="44"/>
      <c r="T2108" s="44"/>
      <c r="U2108" s="44"/>
      <c r="V2108" s="44"/>
      <c r="W2108" s="44"/>
      <c r="X2108" s="44"/>
      <c r="Y2108" s="44"/>
    </row>
    <row r="2109" spans="14:25" ht="15" customHeight="1" x14ac:dyDescent="0.25"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44"/>
      <c r="Y2109" s="44"/>
    </row>
    <row r="2110" spans="14:25" ht="15" customHeight="1" x14ac:dyDescent="0.25"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44"/>
      <c r="Y2110" s="44"/>
    </row>
    <row r="2111" spans="14:25" ht="15" customHeight="1" x14ac:dyDescent="0.25"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44"/>
      <c r="Y2111" s="44"/>
    </row>
    <row r="2112" spans="14:25" ht="15" customHeight="1" x14ac:dyDescent="0.25"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44"/>
      <c r="Y2112" s="44"/>
    </row>
    <row r="2113" spans="14:25" ht="15" customHeight="1" x14ac:dyDescent="0.25"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44"/>
      <c r="Y2113" s="44"/>
    </row>
    <row r="2114" spans="14:25" ht="15" customHeight="1" x14ac:dyDescent="0.25"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44"/>
      <c r="Y2114" s="44"/>
    </row>
    <row r="2115" spans="14:25" ht="15" customHeight="1" x14ac:dyDescent="0.25"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44"/>
      <c r="Y2115" s="44"/>
    </row>
    <row r="2116" spans="14:25" ht="15" customHeight="1" x14ac:dyDescent="0.25"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44"/>
      <c r="Y2116" s="44"/>
    </row>
    <row r="2117" spans="14:25" ht="15" customHeight="1" x14ac:dyDescent="0.25"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44"/>
      <c r="Y2117" s="44"/>
    </row>
    <row r="2118" spans="14:25" ht="15" customHeight="1" x14ac:dyDescent="0.25"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44"/>
      <c r="Y2118" s="44"/>
    </row>
    <row r="2119" spans="14:25" ht="15" customHeight="1" x14ac:dyDescent="0.25"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44"/>
      <c r="Y2119" s="44"/>
    </row>
    <row r="2120" spans="14:25" ht="15" customHeight="1" x14ac:dyDescent="0.25"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44"/>
      <c r="Y2120" s="44"/>
    </row>
    <row r="2121" spans="14:25" ht="15" customHeight="1" x14ac:dyDescent="0.25"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44"/>
      <c r="Y2121" s="44"/>
    </row>
    <row r="2122" spans="14:25" ht="15" customHeight="1" x14ac:dyDescent="0.25"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44"/>
      <c r="Y2122" s="44"/>
    </row>
    <row r="2123" spans="14:25" ht="15" customHeight="1" x14ac:dyDescent="0.25"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44"/>
      <c r="Y2123" s="44"/>
    </row>
    <row r="2124" spans="14:25" ht="15" customHeight="1" x14ac:dyDescent="0.25"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44"/>
      <c r="Y2124" s="44"/>
    </row>
    <row r="2125" spans="14:25" ht="15" customHeight="1" x14ac:dyDescent="0.25"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44"/>
      <c r="Y2125" s="44"/>
    </row>
    <row r="2126" spans="14:25" ht="15" customHeight="1" x14ac:dyDescent="0.25"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44"/>
      <c r="Y2126" s="44"/>
    </row>
    <row r="2127" spans="14:25" ht="15" customHeight="1" x14ac:dyDescent="0.25"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44"/>
      <c r="Y2127" s="44"/>
    </row>
    <row r="2128" spans="14:25" ht="15" customHeight="1" x14ac:dyDescent="0.25"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44"/>
      <c r="Y2128" s="44"/>
    </row>
    <row r="2129" spans="14:25" ht="15" customHeight="1" x14ac:dyDescent="0.25"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44"/>
      <c r="Y2129" s="44"/>
    </row>
    <row r="2130" spans="14:25" ht="15" customHeight="1" x14ac:dyDescent="0.25"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44"/>
      <c r="Y2130" s="44"/>
    </row>
    <row r="2131" spans="14:25" ht="15" customHeight="1" x14ac:dyDescent="0.25"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44"/>
      <c r="Y2131" s="44"/>
    </row>
    <row r="2132" spans="14:25" ht="15" customHeight="1" x14ac:dyDescent="0.25"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44"/>
      <c r="Y2132" s="44"/>
    </row>
    <row r="2133" spans="14:25" ht="15" customHeight="1" x14ac:dyDescent="0.25"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44"/>
      <c r="Y2133" s="44"/>
    </row>
    <row r="2134" spans="14:25" ht="15" customHeight="1" x14ac:dyDescent="0.25"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44"/>
      <c r="Y2134" s="44"/>
    </row>
    <row r="2135" spans="14:25" ht="15" customHeight="1" x14ac:dyDescent="0.25"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44"/>
      <c r="Y2135" s="44"/>
    </row>
    <row r="2136" spans="14:25" ht="15" customHeight="1" x14ac:dyDescent="0.25"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44"/>
      <c r="Y2136" s="44"/>
    </row>
    <row r="2137" spans="14:25" ht="15" customHeight="1" x14ac:dyDescent="0.25"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44"/>
      <c r="Y2137" s="44"/>
    </row>
    <row r="2138" spans="14:25" ht="15" customHeight="1" x14ac:dyDescent="0.25"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44"/>
      <c r="Y2138" s="44"/>
    </row>
    <row r="2139" spans="14:25" ht="15" customHeight="1" x14ac:dyDescent="0.25"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44"/>
      <c r="Y2139" s="44"/>
    </row>
    <row r="2140" spans="14:25" ht="15" customHeight="1" x14ac:dyDescent="0.25"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44"/>
      <c r="Y2140" s="44"/>
    </row>
    <row r="2141" spans="14:25" ht="15" customHeight="1" x14ac:dyDescent="0.25"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44"/>
      <c r="Y2141" s="44"/>
    </row>
    <row r="2142" spans="14:25" ht="15" customHeight="1" x14ac:dyDescent="0.25"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44"/>
      <c r="Y2142" s="44"/>
    </row>
    <row r="2143" spans="14:25" ht="15" customHeight="1" x14ac:dyDescent="0.25"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44"/>
      <c r="Y2143" s="44"/>
    </row>
    <row r="2144" spans="14:25" ht="15" customHeight="1" x14ac:dyDescent="0.25"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44"/>
      <c r="Y2144" s="44"/>
    </row>
    <row r="2145" spans="14:25" ht="15" customHeight="1" x14ac:dyDescent="0.25"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44"/>
      <c r="Y2145" s="44"/>
    </row>
    <row r="2146" spans="14:25" ht="15" customHeight="1" x14ac:dyDescent="0.25"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44"/>
      <c r="Y2146" s="44"/>
    </row>
    <row r="2147" spans="14:25" ht="15" customHeight="1" x14ac:dyDescent="0.25"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44"/>
      <c r="Y2147" s="44"/>
    </row>
    <row r="2148" spans="14:25" ht="15" customHeight="1" x14ac:dyDescent="0.25"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44"/>
      <c r="Y2148" s="44"/>
    </row>
    <row r="2149" spans="14:25" ht="15" customHeight="1" x14ac:dyDescent="0.25"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44"/>
      <c r="Y2149" s="44"/>
    </row>
    <row r="2150" spans="14:25" ht="15" customHeight="1" x14ac:dyDescent="0.25"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44"/>
      <c r="Y2150" s="44"/>
    </row>
    <row r="2151" spans="14:25" ht="15" customHeight="1" x14ac:dyDescent="0.25"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44"/>
      <c r="Y2151" s="44"/>
    </row>
    <row r="2152" spans="14:25" ht="15" customHeight="1" x14ac:dyDescent="0.25"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44"/>
      <c r="Y2152" s="44"/>
    </row>
    <row r="2153" spans="14:25" ht="15" customHeight="1" x14ac:dyDescent="0.25"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44"/>
      <c r="Y2153" s="44"/>
    </row>
    <row r="2154" spans="14:25" ht="15" customHeight="1" x14ac:dyDescent="0.25"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44"/>
      <c r="Y2154" s="44"/>
    </row>
    <row r="2155" spans="14:25" ht="15" customHeight="1" x14ac:dyDescent="0.25"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44"/>
      <c r="Y2155" s="44"/>
    </row>
    <row r="2156" spans="14:25" ht="15" customHeight="1" x14ac:dyDescent="0.25"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44"/>
      <c r="Y2156" s="44"/>
    </row>
    <row r="2157" spans="14:25" ht="15" customHeight="1" x14ac:dyDescent="0.25"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44"/>
      <c r="Y2157" s="44"/>
    </row>
    <row r="2158" spans="14:25" ht="15" customHeight="1" x14ac:dyDescent="0.25"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44"/>
      <c r="Y2158" s="44"/>
    </row>
    <row r="2159" spans="14:25" ht="15" customHeight="1" x14ac:dyDescent="0.25"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44"/>
      <c r="Y2159" s="44"/>
    </row>
    <row r="2160" spans="14:25" ht="15" customHeight="1" x14ac:dyDescent="0.25"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44"/>
      <c r="Y2160" s="44"/>
    </row>
    <row r="2161" spans="14:25" ht="15" customHeight="1" x14ac:dyDescent="0.25"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44"/>
      <c r="Y2161" s="44"/>
    </row>
    <row r="2162" spans="14:25" ht="15" customHeight="1" x14ac:dyDescent="0.25"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44"/>
      <c r="Y2162" s="44"/>
    </row>
    <row r="2163" spans="14:25" ht="15" customHeight="1" x14ac:dyDescent="0.25"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44"/>
      <c r="Y2163" s="44"/>
    </row>
    <row r="2164" spans="14:25" ht="15" customHeight="1" x14ac:dyDescent="0.25"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44"/>
      <c r="Y2164" s="44"/>
    </row>
    <row r="2165" spans="14:25" ht="15" customHeight="1" x14ac:dyDescent="0.25"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44"/>
      <c r="Y2165" s="44"/>
    </row>
    <row r="2166" spans="14:25" ht="15" customHeight="1" x14ac:dyDescent="0.25"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44"/>
      <c r="Y2166" s="44"/>
    </row>
    <row r="2167" spans="14:25" ht="15" customHeight="1" x14ac:dyDescent="0.25"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44"/>
      <c r="Y2167" s="44"/>
    </row>
    <row r="2168" spans="14:25" ht="15" customHeight="1" x14ac:dyDescent="0.25"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44"/>
      <c r="Y2168" s="44"/>
    </row>
    <row r="2169" spans="14:25" ht="15" customHeight="1" x14ac:dyDescent="0.25"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44"/>
      <c r="Y2169" s="44"/>
    </row>
    <row r="2170" spans="14:25" ht="15" customHeight="1" x14ac:dyDescent="0.25"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44"/>
      <c r="Y2170" s="44"/>
    </row>
    <row r="2171" spans="14:25" ht="15" customHeight="1" x14ac:dyDescent="0.25"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44"/>
      <c r="Y2171" s="44"/>
    </row>
    <row r="2172" spans="14:25" ht="15" customHeight="1" x14ac:dyDescent="0.25"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44"/>
      <c r="Y2172" s="44"/>
    </row>
    <row r="2173" spans="14:25" ht="15" customHeight="1" x14ac:dyDescent="0.25"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44"/>
      <c r="Y2173" s="44"/>
    </row>
    <row r="2174" spans="14:25" ht="15" customHeight="1" x14ac:dyDescent="0.25"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44"/>
      <c r="Y2174" s="44"/>
    </row>
    <row r="2175" spans="14:25" ht="15" customHeight="1" x14ac:dyDescent="0.25"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44"/>
      <c r="Y2175" s="44"/>
    </row>
    <row r="2176" spans="14:25" ht="15" customHeight="1" x14ac:dyDescent="0.25"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44"/>
      <c r="Y2176" s="44"/>
    </row>
    <row r="2177" spans="14:25" ht="15" customHeight="1" x14ac:dyDescent="0.25"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44"/>
      <c r="Y2177" s="44"/>
    </row>
    <row r="2178" spans="14:25" ht="15" customHeight="1" x14ac:dyDescent="0.25"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44"/>
      <c r="Y2178" s="44"/>
    </row>
    <row r="2179" spans="14:25" ht="15" customHeight="1" x14ac:dyDescent="0.25"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44"/>
      <c r="Y2179" s="44"/>
    </row>
    <row r="2180" spans="14:25" ht="15" customHeight="1" x14ac:dyDescent="0.25"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44"/>
      <c r="Y2180" s="44"/>
    </row>
    <row r="2181" spans="14:25" ht="15" customHeight="1" x14ac:dyDescent="0.25"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44"/>
      <c r="Y2181" s="44"/>
    </row>
    <row r="2182" spans="14:25" ht="15" customHeight="1" x14ac:dyDescent="0.25"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44"/>
      <c r="Y2182" s="44"/>
    </row>
    <row r="2183" spans="14:25" ht="15" customHeight="1" x14ac:dyDescent="0.25"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44"/>
      <c r="Y2183" s="44"/>
    </row>
    <row r="2184" spans="14:25" ht="15" customHeight="1" x14ac:dyDescent="0.25"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44"/>
      <c r="Y2184" s="44"/>
    </row>
    <row r="2185" spans="14:25" ht="15" customHeight="1" x14ac:dyDescent="0.25"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44"/>
      <c r="Y2185" s="44"/>
    </row>
    <row r="2186" spans="14:25" ht="15" customHeight="1" x14ac:dyDescent="0.25"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44"/>
      <c r="Y2186" s="44"/>
    </row>
    <row r="2187" spans="14:25" ht="15" customHeight="1" x14ac:dyDescent="0.25"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44"/>
      <c r="Y2187" s="44"/>
    </row>
    <row r="2188" spans="14:25" ht="15" customHeight="1" x14ac:dyDescent="0.25"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44"/>
      <c r="Y2188" s="44"/>
    </row>
    <row r="2189" spans="14:25" ht="15" customHeight="1" x14ac:dyDescent="0.25"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44"/>
      <c r="Y2189" s="44"/>
    </row>
    <row r="2190" spans="14:25" ht="15" customHeight="1" x14ac:dyDescent="0.25"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44"/>
      <c r="Y2190" s="44"/>
    </row>
    <row r="2191" spans="14:25" ht="15" customHeight="1" x14ac:dyDescent="0.25"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44"/>
      <c r="Y2191" s="44"/>
    </row>
    <row r="2192" spans="14:25" ht="15" customHeight="1" x14ac:dyDescent="0.25"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44"/>
      <c r="Y2192" s="44"/>
    </row>
    <row r="2193" spans="14:25" ht="15" customHeight="1" x14ac:dyDescent="0.25"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44"/>
      <c r="Y2193" s="44"/>
    </row>
    <row r="2194" spans="14:25" ht="15" customHeight="1" x14ac:dyDescent="0.25"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44"/>
      <c r="Y2194" s="44"/>
    </row>
    <row r="2195" spans="14:25" ht="15" customHeight="1" x14ac:dyDescent="0.25">
      <c r="N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44"/>
      <c r="Y2195" s="44"/>
    </row>
    <row r="2196" spans="14:25" ht="15" customHeight="1" x14ac:dyDescent="0.25">
      <c r="N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44"/>
      <c r="Y2196" s="44"/>
    </row>
    <row r="2197" spans="14:25" ht="15" customHeight="1" x14ac:dyDescent="0.25">
      <c r="N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44"/>
      <c r="Y2197" s="44"/>
    </row>
    <row r="2198" spans="14:25" ht="15" customHeight="1" x14ac:dyDescent="0.25">
      <c r="N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44"/>
      <c r="Y2198" s="44"/>
    </row>
    <row r="2199" spans="14:25" ht="15" customHeight="1" x14ac:dyDescent="0.25">
      <c r="N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44"/>
      <c r="Y2199" s="44"/>
    </row>
    <row r="2200" spans="14:25" ht="15" customHeight="1" x14ac:dyDescent="0.25">
      <c r="N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44"/>
      <c r="Y2200" s="44"/>
    </row>
    <row r="2201" spans="14:25" ht="15" customHeight="1" x14ac:dyDescent="0.25">
      <c r="N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44"/>
      <c r="Y2201" s="44"/>
    </row>
    <row r="2202" spans="14:25" ht="15" customHeight="1" x14ac:dyDescent="0.25">
      <c r="N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44"/>
      <c r="Y2202" s="44"/>
    </row>
    <row r="2203" spans="14:25" ht="15" customHeight="1" x14ac:dyDescent="0.25">
      <c r="N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44"/>
      <c r="Y2203" s="44"/>
    </row>
    <row r="2204" spans="14:25" ht="15" customHeight="1" x14ac:dyDescent="0.25">
      <c r="N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44"/>
      <c r="Y2204" s="44"/>
    </row>
    <row r="2205" spans="14:25" ht="15" customHeight="1" x14ac:dyDescent="0.25">
      <c r="N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44"/>
      <c r="Y2205" s="44"/>
    </row>
    <row r="2206" spans="14:25" ht="15" customHeight="1" x14ac:dyDescent="0.25">
      <c r="N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44"/>
      <c r="Y2206" s="44"/>
    </row>
    <row r="2207" spans="14:25" ht="15" customHeight="1" x14ac:dyDescent="0.25">
      <c r="N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44"/>
      <c r="Y2207" s="44"/>
    </row>
    <row r="2208" spans="14:25" ht="15" customHeight="1" x14ac:dyDescent="0.25">
      <c r="N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44"/>
      <c r="Y2208" s="44"/>
    </row>
    <row r="2209" spans="14:25" ht="15" customHeight="1" x14ac:dyDescent="0.25">
      <c r="N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44"/>
      <c r="Y2209" s="44"/>
    </row>
    <row r="2210" spans="14:25" ht="15" customHeight="1" x14ac:dyDescent="0.25">
      <c r="N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44"/>
      <c r="Y2210" s="44"/>
    </row>
    <row r="2211" spans="14:25" ht="15" customHeight="1" x14ac:dyDescent="0.25">
      <c r="N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44"/>
      <c r="Y2211" s="44"/>
    </row>
    <row r="2212" spans="14:25" ht="15" customHeight="1" x14ac:dyDescent="0.25">
      <c r="N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44"/>
      <c r="Y2212" s="44"/>
    </row>
    <row r="2213" spans="14:25" ht="15" customHeight="1" x14ac:dyDescent="0.25">
      <c r="N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44"/>
      <c r="Y2213" s="44"/>
    </row>
    <row r="2214" spans="14:25" ht="15" customHeight="1" x14ac:dyDescent="0.25">
      <c r="N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44"/>
      <c r="Y2214" s="44"/>
    </row>
    <row r="2215" spans="14:25" ht="15" customHeight="1" x14ac:dyDescent="0.25">
      <c r="N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44"/>
      <c r="Y2215" s="44"/>
    </row>
    <row r="2216" spans="14:25" ht="15" customHeight="1" x14ac:dyDescent="0.25">
      <c r="N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44"/>
      <c r="Y2216" s="44"/>
    </row>
    <row r="2217" spans="14:25" ht="15" customHeight="1" x14ac:dyDescent="0.25">
      <c r="N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44"/>
      <c r="Y2217" s="44"/>
    </row>
    <row r="2218" spans="14:25" ht="15" customHeight="1" x14ac:dyDescent="0.25">
      <c r="N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44"/>
      <c r="Y2218" s="44"/>
    </row>
    <row r="2219" spans="14:25" ht="15" customHeight="1" x14ac:dyDescent="0.25">
      <c r="N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44"/>
      <c r="Y2219" s="44"/>
    </row>
    <row r="2220" spans="14:25" ht="15" customHeight="1" x14ac:dyDescent="0.25">
      <c r="N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44"/>
      <c r="Y2220" s="44"/>
    </row>
    <row r="2221" spans="14:25" ht="15" customHeight="1" x14ac:dyDescent="0.25">
      <c r="N2221" s="44"/>
      <c r="O2221" s="44"/>
      <c r="P2221" s="44"/>
      <c r="Q2221" s="44"/>
      <c r="R2221" s="44"/>
      <c r="S2221" s="44"/>
      <c r="T2221" s="44"/>
      <c r="U2221" s="44"/>
      <c r="V2221" s="44"/>
      <c r="W2221" s="44"/>
      <c r="X2221" s="44"/>
      <c r="Y2221" s="44"/>
    </row>
    <row r="2222" spans="14:25" ht="15" customHeight="1" x14ac:dyDescent="0.25"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44"/>
      <c r="Y2222" s="44"/>
    </row>
    <row r="2223" spans="14:25" ht="15" customHeight="1" x14ac:dyDescent="0.25"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44"/>
    </row>
    <row r="2224" spans="14:25" ht="15" customHeight="1" x14ac:dyDescent="0.25">
      <c r="N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44"/>
      <c r="Y2224" s="44"/>
    </row>
    <row r="2225" spans="14:25" ht="15" customHeight="1" x14ac:dyDescent="0.25">
      <c r="N2225" s="44"/>
      <c r="O2225" s="44"/>
      <c r="P2225" s="44"/>
      <c r="Q2225" s="44"/>
      <c r="R2225" s="44"/>
      <c r="S2225" s="44"/>
      <c r="T2225" s="44"/>
      <c r="U2225" s="44"/>
      <c r="V2225" s="44"/>
      <c r="W2225" s="44"/>
      <c r="X2225" s="44"/>
      <c r="Y2225" s="44"/>
    </row>
    <row r="2226" spans="14:25" ht="15" customHeight="1" x14ac:dyDescent="0.25">
      <c r="N2226" s="44"/>
      <c r="O2226" s="44"/>
      <c r="P2226" s="44"/>
      <c r="Q2226" s="44"/>
      <c r="R2226" s="44"/>
      <c r="S2226" s="44"/>
      <c r="T2226" s="44"/>
      <c r="U2226" s="44"/>
      <c r="V2226" s="44"/>
      <c r="W2226" s="44"/>
      <c r="X2226" s="44"/>
      <c r="Y2226" s="44"/>
    </row>
    <row r="2227" spans="14:25" ht="15" customHeight="1" x14ac:dyDescent="0.25">
      <c r="N2227" s="44"/>
      <c r="O2227" s="44"/>
      <c r="P2227" s="44"/>
      <c r="Q2227" s="44"/>
      <c r="R2227" s="44"/>
      <c r="S2227" s="44"/>
      <c r="T2227" s="44"/>
      <c r="U2227" s="44"/>
      <c r="V2227" s="44"/>
      <c r="W2227" s="44"/>
      <c r="X2227" s="44"/>
      <c r="Y2227" s="44"/>
    </row>
    <row r="2228" spans="14:25" ht="15" customHeight="1" x14ac:dyDescent="0.25">
      <c r="N2228" s="44"/>
      <c r="O2228" s="44"/>
      <c r="P2228" s="44"/>
      <c r="Q2228" s="44"/>
      <c r="R2228" s="44"/>
      <c r="S2228" s="44"/>
      <c r="T2228" s="44"/>
      <c r="U2228" s="44"/>
      <c r="V2228" s="44"/>
      <c r="W2228" s="44"/>
      <c r="X2228" s="44"/>
      <c r="Y2228" s="44"/>
    </row>
    <row r="2229" spans="14:25" ht="15" customHeight="1" x14ac:dyDescent="0.25">
      <c r="N2229" s="44"/>
      <c r="O2229" s="44"/>
      <c r="P2229" s="44"/>
      <c r="Q2229" s="44"/>
      <c r="R2229" s="44"/>
      <c r="S2229" s="44"/>
      <c r="T2229" s="44"/>
      <c r="U2229" s="44"/>
      <c r="V2229" s="44"/>
      <c r="W2229" s="44"/>
      <c r="X2229" s="44"/>
      <c r="Y2229" s="44"/>
    </row>
    <row r="2230" spans="14:25" ht="15" customHeight="1" x14ac:dyDescent="0.25">
      <c r="N2230" s="44"/>
      <c r="O2230" s="44"/>
      <c r="P2230" s="44"/>
      <c r="Q2230" s="44"/>
      <c r="R2230" s="44"/>
      <c r="S2230" s="44"/>
      <c r="T2230" s="44"/>
      <c r="U2230" s="44"/>
      <c r="V2230" s="44"/>
      <c r="W2230" s="44"/>
      <c r="X2230" s="44"/>
      <c r="Y2230" s="44"/>
    </row>
    <row r="2231" spans="14:25" ht="15" customHeight="1" x14ac:dyDescent="0.25">
      <c r="N2231" s="44"/>
      <c r="O2231" s="44"/>
      <c r="P2231" s="44"/>
      <c r="Q2231" s="44"/>
      <c r="R2231" s="44"/>
      <c r="S2231" s="44"/>
      <c r="T2231" s="44"/>
      <c r="U2231" s="44"/>
      <c r="V2231" s="44"/>
      <c r="W2231" s="44"/>
      <c r="X2231" s="44"/>
      <c r="Y2231" s="44"/>
    </row>
    <row r="2232" spans="14:25" ht="15" customHeight="1" x14ac:dyDescent="0.25">
      <c r="N2232" s="44"/>
      <c r="O2232" s="44"/>
      <c r="P2232" s="44"/>
      <c r="Q2232" s="44"/>
      <c r="R2232" s="44"/>
      <c r="S2232" s="44"/>
      <c r="T2232" s="44"/>
      <c r="U2232" s="44"/>
      <c r="V2232" s="44"/>
      <c r="W2232" s="44"/>
      <c r="X2232" s="44"/>
      <c r="Y2232" s="44"/>
    </row>
    <row r="2233" spans="14:25" ht="15" customHeight="1" x14ac:dyDescent="0.25">
      <c r="N2233" s="44"/>
      <c r="O2233" s="44"/>
      <c r="P2233" s="44"/>
      <c r="Q2233" s="44"/>
      <c r="R2233" s="44"/>
      <c r="S2233" s="44"/>
      <c r="T2233" s="44"/>
      <c r="U2233" s="44"/>
      <c r="V2233" s="44"/>
      <c r="W2233" s="44"/>
      <c r="X2233" s="44"/>
      <c r="Y2233" s="44"/>
    </row>
    <row r="2234" spans="14:25" ht="15" customHeight="1" x14ac:dyDescent="0.25">
      <c r="N2234" s="44"/>
      <c r="O2234" s="44"/>
      <c r="P2234" s="44"/>
      <c r="Q2234" s="44"/>
      <c r="R2234" s="44"/>
      <c r="S2234" s="44"/>
      <c r="T2234" s="44"/>
      <c r="U2234" s="44"/>
      <c r="V2234" s="44"/>
      <c r="W2234" s="44"/>
      <c r="X2234" s="44"/>
      <c r="Y2234" s="44"/>
    </row>
    <row r="2235" spans="14:25" ht="15" customHeight="1" x14ac:dyDescent="0.25">
      <c r="N2235" s="44"/>
      <c r="O2235" s="44"/>
      <c r="P2235" s="44"/>
      <c r="Q2235" s="44"/>
      <c r="R2235" s="44"/>
      <c r="S2235" s="44"/>
      <c r="T2235" s="44"/>
      <c r="U2235" s="44"/>
      <c r="V2235" s="44"/>
      <c r="W2235" s="44"/>
      <c r="X2235" s="44"/>
      <c r="Y2235" s="44"/>
    </row>
    <row r="2236" spans="14:25" ht="15" customHeight="1" x14ac:dyDescent="0.25">
      <c r="N2236" s="44"/>
      <c r="O2236" s="44"/>
      <c r="P2236" s="44"/>
      <c r="Q2236" s="44"/>
      <c r="R2236" s="44"/>
      <c r="S2236" s="44"/>
      <c r="T2236" s="44"/>
      <c r="U2236" s="44"/>
      <c r="V2236" s="44"/>
      <c r="W2236" s="44"/>
      <c r="X2236" s="44"/>
      <c r="Y2236" s="44"/>
    </row>
    <row r="2237" spans="14:25" ht="15" customHeight="1" x14ac:dyDescent="0.25">
      <c r="N2237" s="44"/>
      <c r="O2237" s="44"/>
      <c r="P2237" s="44"/>
      <c r="Q2237" s="44"/>
      <c r="R2237" s="44"/>
      <c r="S2237" s="44"/>
      <c r="T2237" s="44"/>
      <c r="U2237" s="44"/>
      <c r="V2237" s="44"/>
      <c r="W2237" s="44"/>
      <c r="X2237" s="44"/>
      <c r="Y2237" s="44"/>
    </row>
    <row r="2238" spans="14:25" ht="15" customHeight="1" x14ac:dyDescent="0.25">
      <c r="N2238" s="44"/>
      <c r="O2238" s="44"/>
      <c r="P2238" s="44"/>
      <c r="Q2238" s="44"/>
      <c r="R2238" s="44"/>
      <c r="S2238" s="44"/>
      <c r="T2238" s="44"/>
      <c r="U2238" s="44"/>
      <c r="V2238" s="44"/>
      <c r="W2238" s="44"/>
      <c r="X2238" s="44"/>
      <c r="Y2238" s="44"/>
    </row>
    <row r="2239" spans="14:25" ht="15" customHeight="1" x14ac:dyDescent="0.25">
      <c r="N2239" s="44"/>
      <c r="O2239" s="44"/>
      <c r="P2239" s="44"/>
      <c r="Q2239" s="44"/>
      <c r="R2239" s="44"/>
      <c r="S2239" s="44"/>
      <c r="T2239" s="44"/>
      <c r="U2239" s="44"/>
      <c r="V2239" s="44"/>
      <c r="W2239" s="44"/>
      <c r="X2239" s="44"/>
      <c r="Y2239" s="44"/>
    </row>
    <row r="2240" spans="14:25" ht="15" customHeight="1" x14ac:dyDescent="0.25">
      <c r="N2240" s="44"/>
      <c r="O2240" s="44"/>
      <c r="P2240" s="44"/>
      <c r="Q2240" s="44"/>
      <c r="R2240" s="44"/>
      <c r="S2240" s="44"/>
      <c r="T2240" s="44"/>
      <c r="U2240" s="44"/>
      <c r="V2240" s="44"/>
      <c r="W2240" s="44"/>
      <c r="X2240" s="44"/>
      <c r="Y2240" s="44"/>
    </row>
    <row r="2241" spans="14:25" ht="15" customHeight="1" x14ac:dyDescent="0.25">
      <c r="N2241" s="44"/>
      <c r="O2241" s="44"/>
      <c r="P2241" s="44"/>
      <c r="Q2241" s="44"/>
      <c r="R2241" s="44"/>
      <c r="S2241" s="44"/>
      <c r="T2241" s="44"/>
      <c r="U2241" s="44"/>
      <c r="V2241" s="44"/>
      <c r="W2241" s="44"/>
      <c r="X2241" s="44"/>
      <c r="Y2241" s="44"/>
    </row>
    <row r="2242" spans="14:25" ht="15" customHeight="1" x14ac:dyDescent="0.25">
      <c r="N2242" s="44"/>
      <c r="O2242" s="44"/>
      <c r="P2242" s="44"/>
      <c r="Q2242" s="44"/>
      <c r="R2242" s="44"/>
      <c r="S2242" s="44"/>
      <c r="T2242" s="44"/>
      <c r="U2242" s="44"/>
      <c r="V2242" s="44"/>
      <c r="W2242" s="44"/>
      <c r="X2242" s="44"/>
      <c r="Y2242" s="44"/>
    </row>
    <row r="2243" spans="14:25" ht="15" customHeight="1" x14ac:dyDescent="0.25">
      <c r="N2243" s="44"/>
      <c r="O2243" s="44"/>
      <c r="P2243" s="44"/>
      <c r="Q2243" s="44"/>
      <c r="R2243" s="44"/>
      <c r="S2243" s="44"/>
      <c r="T2243" s="44"/>
      <c r="U2243" s="44"/>
      <c r="V2243" s="44"/>
      <c r="W2243" s="44"/>
      <c r="X2243" s="44"/>
      <c r="Y2243" s="44"/>
    </row>
    <row r="2244" spans="14:25" ht="15" customHeight="1" x14ac:dyDescent="0.25">
      <c r="N2244" s="44"/>
      <c r="O2244" s="44"/>
      <c r="P2244" s="44"/>
      <c r="Q2244" s="44"/>
      <c r="R2244" s="44"/>
      <c r="S2244" s="44"/>
      <c r="T2244" s="44"/>
      <c r="U2244" s="44"/>
      <c r="V2244" s="44"/>
      <c r="W2244" s="44"/>
      <c r="X2244" s="44"/>
      <c r="Y2244" s="44"/>
    </row>
    <row r="2245" spans="14:25" ht="15" customHeight="1" x14ac:dyDescent="0.25">
      <c r="N2245" s="44"/>
      <c r="O2245" s="44"/>
      <c r="P2245" s="44"/>
      <c r="Q2245" s="44"/>
      <c r="R2245" s="44"/>
      <c r="S2245" s="44"/>
      <c r="T2245" s="44"/>
      <c r="U2245" s="44"/>
      <c r="V2245" s="44"/>
      <c r="W2245" s="44"/>
      <c r="X2245" s="44"/>
      <c r="Y2245" s="44"/>
    </row>
    <row r="2246" spans="14:25" ht="15" customHeight="1" x14ac:dyDescent="0.25">
      <c r="N2246" s="44"/>
      <c r="O2246" s="44"/>
      <c r="P2246" s="44"/>
      <c r="Q2246" s="44"/>
      <c r="R2246" s="44"/>
      <c r="S2246" s="44"/>
      <c r="T2246" s="44"/>
      <c r="U2246" s="44"/>
      <c r="V2246" s="44"/>
      <c r="W2246" s="44"/>
      <c r="X2246" s="44"/>
      <c r="Y2246" s="44"/>
    </row>
    <row r="2247" spans="14:25" ht="15" customHeight="1" x14ac:dyDescent="0.25">
      <c r="N2247" s="44"/>
      <c r="O2247" s="44"/>
      <c r="P2247" s="44"/>
      <c r="Q2247" s="44"/>
      <c r="R2247" s="44"/>
      <c r="S2247" s="44"/>
      <c r="T2247" s="44"/>
      <c r="U2247" s="44"/>
      <c r="V2247" s="44"/>
      <c r="W2247" s="44"/>
      <c r="X2247" s="44"/>
      <c r="Y2247" s="44"/>
    </row>
    <row r="2248" spans="14:25" ht="15" customHeight="1" x14ac:dyDescent="0.25">
      <c r="N2248" s="44"/>
      <c r="O2248" s="44"/>
      <c r="P2248" s="44"/>
      <c r="Q2248" s="44"/>
      <c r="R2248" s="44"/>
      <c r="S2248" s="44"/>
      <c r="T2248" s="44"/>
      <c r="U2248" s="44"/>
      <c r="V2248" s="44"/>
      <c r="W2248" s="44"/>
      <c r="X2248" s="44"/>
      <c r="Y2248" s="44"/>
    </row>
    <row r="2249" spans="14:25" ht="15" customHeight="1" x14ac:dyDescent="0.25">
      <c r="N2249" s="44"/>
      <c r="O2249" s="44"/>
      <c r="P2249" s="44"/>
      <c r="Q2249" s="44"/>
      <c r="R2249" s="44"/>
      <c r="S2249" s="44"/>
      <c r="T2249" s="44"/>
      <c r="U2249" s="44"/>
      <c r="V2249" s="44"/>
      <c r="W2249" s="44"/>
      <c r="X2249" s="44"/>
      <c r="Y2249" s="44"/>
    </row>
    <row r="2250" spans="14:25" ht="15" customHeight="1" x14ac:dyDescent="0.25">
      <c r="N2250" s="44"/>
      <c r="O2250" s="44"/>
      <c r="P2250" s="44"/>
      <c r="Q2250" s="44"/>
      <c r="R2250" s="44"/>
      <c r="S2250" s="44"/>
      <c r="T2250" s="44"/>
      <c r="U2250" s="44"/>
      <c r="V2250" s="44"/>
      <c r="W2250" s="44"/>
      <c r="X2250" s="44"/>
      <c r="Y2250" s="44"/>
    </row>
    <row r="2251" spans="14:25" ht="15" customHeight="1" x14ac:dyDescent="0.25">
      <c r="N2251" s="44"/>
      <c r="O2251" s="44"/>
      <c r="P2251" s="44"/>
      <c r="Q2251" s="44"/>
      <c r="R2251" s="44"/>
      <c r="S2251" s="44"/>
      <c r="T2251" s="44"/>
      <c r="U2251" s="44"/>
      <c r="V2251" s="44"/>
      <c r="W2251" s="44"/>
      <c r="X2251" s="44"/>
      <c r="Y2251" s="44"/>
    </row>
    <row r="2252" spans="14:25" ht="15" customHeight="1" x14ac:dyDescent="0.25">
      <c r="N2252" s="44"/>
      <c r="O2252" s="44"/>
      <c r="P2252" s="44"/>
      <c r="Q2252" s="44"/>
      <c r="R2252" s="44"/>
      <c r="S2252" s="44"/>
      <c r="T2252" s="44"/>
      <c r="U2252" s="44"/>
      <c r="V2252" s="44"/>
      <c r="W2252" s="44"/>
      <c r="X2252" s="44"/>
      <c r="Y2252" s="44"/>
    </row>
    <row r="2253" spans="14:25" ht="15" customHeight="1" x14ac:dyDescent="0.25">
      <c r="N2253" s="44"/>
      <c r="O2253" s="44"/>
      <c r="P2253" s="44"/>
      <c r="Q2253" s="44"/>
      <c r="R2253" s="44"/>
      <c r="S2253" s="44"/>
      <c r="T2253" s="44"/>
      <c r="U2253" s="44"/>
      <c r="V2253" s="44"/>
      <c r="W2253" s="44"/>
      <c r="X2253" s="44"/>
      <c r="Y2253" s="44"/>
    </row>
    <row r="2254" spans="14:25" ht="15" customHeight="1" x14ac:dyDescent="0.25">
      <c r="N2254" s="44"/>
      <c r="O2254" s="44"/>
      <c r="P2254" s="44"/>
      <c r="Q2254" s="44"/>
      <c r="R2254" s="44"/>
      <c r="S2254" s="44"/>
      <c r="T2254" s="44"/>
      <c r="U2254" s="44"/>
      <c r="V2254" s="44"/>
      <c r="W2254" s="44"/>
      <c r="X2254" s="44"/>
      <c r="Y2254" s="44"/>
    </row>
    <row r="2255" spans="14:25" ht="15" customHeight="1" x14ac:dyDescent="0.25">
      <c r="N2255" s="44"/>
      <c r="O2255" s="44"/>
      <c r="P2255" s="44"/>
      <c r="Q2255" s="44"/>
      <c r="R2255" s="44"/>
      <c r="S2255" s="44"/>
      <c r="T2255" s="44"/>
      <c r="U2255" s="44"/>
      <c r="V2255" s="44"/>
      <c r="W2255" s="44"/>
      <c r="X2255" s="44"/>
      <c r="Y2255" s="44"/>
    </row>
    <row r="2256" spans="14:25" ht="15" customHeight="1" x14ac:dyDescent="0.25">
      <c r="N2256" s="44"/>
      <c r="O2256" s="44"/>
      <c r="P2256" s="44"/>
      <c r="Q2256" s="44"/>
      <c r="R2256" s="44"/>
      <c r="S2256" s="44"/>
      <c r="T2256" s="44"/>
      <c r="U2256" s="44"/>
      <c r="V2256" s="44"/>
      <c r="W2256" s="44"/>
      <c r="X2256" s="44"/>
      <c r="Y2256" s="44"/>
    </row>
    <row r="2257" spans="14:25" ht="15" customHeight="1" x14ac:dyDescent="0.25">
      <c r="N2257" s="44"/>
      <c r="O2257" s="44"/>
      <c r="P2257" s="44"/>
      <c r="Q2257" s="44"/>
      <c r="R2257" s="44"/>
      <c r="S2257" s="44"/>
      <c r="T2257" s="44"/>
      <c r="U2257" s="44"/>
      <c r="V2257" s="44"/>
      <c r="W2257" s="44"/>
      <c r="X2257" s="44"/>
      <c r="Y2257" s="44"/>
    </row>
    <row r="2258" spans="14:25" ht="15" customHeight="1" x14ac:dyDescent="0.25">
      <c r="N2258" s="44"/>
      <c r="O2258" s="44"/>
      <c r="P2258" s="44"/>
      <c r="Q2258" s="44"/>
      <c r="R2258" s="44"/>
      <c r="S2258" s="44"/>
      <c r="T2258" s="44"/>
      <c r="U2258" s="44"/>
      <c r="V2258" s="44"/>
      <c r="W2258" s="44"/>
      <c r="X2258" s="44"/>
      <c r="Y2258" s="44"/>
    </row>
    <row r="2259" spans="14:25" ht="15" customHeight="1" x14ac:dyDescent="0.25">
      <c r="N2259" s="44"/>
      <c r="O2259" s="44"/>
      <c r="P2259" s="44"/>
      <c r="Q2259" s="44"/>
      <c r="R2259" s="44"/>
      <c r="S2259" s="44"/>
      <c r="T2259" s="44"/>
      <c r="U2259" s="44"/>
      <c r="V2259" s="44"/>
      <c r="W2259" s="44"/>
      <c r="X2259" s="44"/>
      <c r="Y2259" s="44"/>
    </row>
    <row r="2260" spans="14:25" ht="15" customHeight="1" x14ac:dyDescent="0.25">
      <c r="N2260" s="44"/>
      <c r="O2260" s="44"/>
      <c r="P2260" s="44"/>
      <c r="Q2260" s="44"/>
      <c r="R2260" s="44"/>
      <c r="S2260" s="44"/>
      <c r="T2260" s="44"/>
      <c r="U2260" s="44"/>
      <c r="V2260" s="44"/>
      <c r="W2260" s="44"/>
      <c r="X2260" s="44"/>
      <c r="Y2260" s="44"/>
    </row>
    <row r="2261" spans="14:25" ht="15" customHeight="1" x14ac:dyDescent="0.25">
      <c r="N2261" s="44"/>
      <c r="O2261" s="44"/>
      <c r="P2261" s="44"/>
      <c r="Q2261" s="44"/>
      <c r="R2261" s="44"/>
      <c r="S2261" s="44"/>
      <c r="T2261" s="44"/>
      <c r="U2261" s="44"/>
      <c r="V2261" s="44"/>
      <c r="W2261" s="44"/>
      <c r="X2261" s="44"/>
      <c r="Y2261" s="44"/>
    </row>
    <row r="2262" spans="14:25" ht="15" customHeight="1" x14ac:dyDescent="0.25">
      <c r="N2262" s="44"/>
      <c r="O2262" s="44"/>
      <c r="P2262" s="44"/>
      <c r="Q2262" s="44"/>
      <c r="R2262" s="44"/>
      <c r="S2262" s="44"/>
      <c r="T2262" s="44"/>
      <c r="U2262" s="44"/>
      <c r="V2262" s="44"/>
      <c r="W2262" s="44"/>
      <c r="X2262" s="44"/>
      <c r="Y2262" s="44"/>
    </row>
    <row r="2263" spans="14:25" ht="15" customHeight="1" x14ac:dyDescent="0.25">
      <c r="N2263" s="44"/>
      <c r="O2263" s="44"/>
      <c r="P2263" s="44"/>
      <c r="Q2263" s="44"/>
      <c r="R2263" s="44"/>
      <c r="S2263" s="44"/>
      <c r="T2263" s="44"/>
      <c r="U2263" s="44"/>
      <c r="V2263" s="44"/>
      <c r="W2263" s="44"/>
      <c r="X2263" s="44"/>
      <c r="Y2263" s="44"/>
    </row>
    <row r="2264" spans="14:25" ht="15" customHeight="1" x14ac:dyDescent="0.25">
      <c r="N2264" s="44"/>
      <c r="O2264" s="44"/>
      <c r="P2264" s="44"/>
      <c r="Q2264" s="44"/>
      <c r="R2264" s="44"/>
      <c r="S2264" s="44"/>
      <c r="T2264" s="44"/>
      <c r="U2264" s="44"/>
      <c r="V2264" s="44"/>
      <c r="W2264" s="44"/>
      <c r="X2264" s="44"/>
      <c r="Y2264" s="44"/>
    </row>
    <row r="2265" spans="14:25" ht="15" customHeight="1" x14ac:dyDescent="0.25"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4"/>
      <c r="Y2265" s="44"/>
    </row>
    <row r="2266" spans="14:25" ht="15" customHeight="1" x14ac:dyDescent="0.25"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44"/>
    </row>
    <row r="2267" spans="14:25" ht="15" customHeight="1" x14ac:dyDescent="0.25">
      <c r="N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44"/>
      <c r="Y2267" s="44"/>
    </row>
    <row r="2268" spans="14:25" ht="15" customHeight="1" x14ac:dyDescent="0.25">
      <c r="N2268" s="44"/>
      <c r="O2268" s="44"/>
      <c r="P2268" s="44"/>
      <c r="Q2268" s="44"/>
      <c r="R2268" s="44"/>
      <c r="S2268" s="44"/>
      <c r="T2268" s="44"/>
      <c r="U2268" s="44"/>
      <c r="V2268" s="44"/>
      <c r="W2268" s="44"/>
      <c r="X2268" s="44"/>
      <c r="Y2268" s="44"/>
    </row>
    <row r="2269" spans="14:25" ht="15" customHeight="1" x14ac:dyDescent="0.25">
      <c r="N2269" s="44"/>
      <c r="O2269" s="44"/>
      <c r="P2269" s="44"/>
      <c r="Q2269" s="44"/>
      <c r="R2269" s="44"/>
      <c r="S2269" s="44"/>
      <c r="T2269" s="44"/>
      <c r="U2269" s="44"/>
      <c r="V2269" s="44"/>
      <c r="W2269" s="44"/>
      <c r="X2269" s="44"/>
      <c r="Y2269" s="44"/>
    </row>
    <row r="2270" spans="14:25" ht="15" customHeight="1" x14ac:dyDescent="0.25">
      <c r="N2270" s="44"/>
      <c r="O2270" s="44"/>
      <c r="P2270" s="44"/>
      <c r="Q2270" s="44"/>
      <c r="R2270" s="44"/>
      <c r="S2270" s="44"/>
      <c r="T2270" s="44"/>
      <c r="U2270" s="44"/>
      <c r="V2270" s="44"/>
      <c r="W2270" s="44"/>
      <c r="X2270" s="44"/>
      <c r="Y2270" s="44"/>
    </row>
    <row r="2271" spans="14:25" ht="15" customHeight="1" x14ac:dyDescent="0.25">
      <c r="N2271" s="44"/>
      <c r="O2271" s="44"/>
      <c r="P2271" s="44"/>
      <c r="Q2271" s="44"/>
      <c r="R2271" s="44"/>
      <c r="S2271" s="44"/>
      <c r="T2271" s="44"/>
      <c r="U2271" s="44"/>
      <c r="V2271" s="44"/>
      <c r="W2271" s="44"/>
      <c r="X2271" s="44"/>
      <c r="Y2271" s="44"/>
    </row>
    <row r="2272" spans="14:25" ht="15" customHeight="1" x14ac:dyDescent="0.25">
      <c r="N2272" s="44"/>
      <c r="O2272" s="44"/>
      <c r="P2272" s="44"/>
      <c r="Q2272" s="44"/>
      <c r="R2272" s="44"/>
      <c r="S2272" s="44"/>
      <c r="T2272" s="44"/>
      <c r="U2272" s="44"/>
      <c r="V2272" s="44"/>
      <c r="W2272" s="44"/>
      <c r="X2272" s="44"/>
      <c r="Y2272" s="44"/>
    </row>
    <row r="2273" spans="14:25" ht="15" customHeight="1" x14ac:dyDescent="0.25">
      <c r="N2273" s="44"/>
      <c r="O2273" s="44"/>
      <c r="P2273" s="44"/>
      <c r="Q2273" s="44"/>
      <c r="R2273" s="44"/>
      <c r="S2273" s="44"/>
      <c r="T2273" s="44"/>
      <c r="U2273" s="44"/>
      <c r="V2273" s="44"/>
      <c r="W2273" s="44"/>
      <c r="X2273" s="44"/>
      <c r="Y2273" s="44"/>
    </row>
    <row r="2274" spans="14:25" ht="15" customHeight="1" x14ac:dyDescent="0.25">
      <c r="N2274" s="44"/>
      <c r="O2274" s="44"/>
      <c r="P2274" s="44"/>
      <c r="Q2274" s="44"/>
      <c r="R2274" s="44"/>
      <c r="S2274" s="44"/>
      <c r="T2274" s="44"/>
      <c r="U2274" s="44"/>
      <c r="V2274" s="44"/>
      <c r="W2274" s="44"/>
      <c r="X2274" s="44"/>
      <c r="Y2274" s="44"/>
    </row>
    <row r="2275" spans="14:25" ht="15" customHeight="1" x14ac:dyDescent="0.25">
      <c r="N2275" s="44"/>
      <c r="O2275" s="44"/>
      <c r="P2275" s="44"/>
      <c r="Q2275" s="44"/>
      <c r="R2275" s="44"/>
      <c r="S2275" s="44"/>
      <c r="T2275" s="44"/>
      <c r="U2275" s="44"/>
      <c r="V2275" s="44"/>
      <c r="W2275" s="44"/>
      <c r="X2275" s="44"/>
      <c r="Y2275" s="44"/>
    </row>
    <row r="2276" spans="14:25" ht="15" customHeight="1" x14ac:dyDescent="0.25">
      <c r="N2276" s="44"/>
      <c r="O2276" s="44"/>
      <c r="P2276" s="44"/>
      <c r="Q2276" s="44"/>
      <c r="R2276" s="44"/>
      <c r="S2276" s="44"/>
      <c r="T2276" s="44"/>
      <c r="U2276" s="44"/>
      <c r="V2276" s="44"/>
      <c r="W2276" s="44"/>
      <c r="X2276" s="44"/>
      <c r="Y2276" s="44"/>
    </row>
    <row r="2277" spans="14:25" ht="15" customHeight="1" x14ac:dyDescent="0.25">
      <c r="N2277" s="44"/>
      <c r="O2277" s="44"/>
      <c r="P2277" s="44"/>
      <c r="Q2277" s="44"/>
      <c r="R2277" s="44"/>
      <c r="S2277" s="44"/>
      <c r="T2277" s="44"/>
      <c r="U2277" s="44"/>
      <c r="V2277" s="44"/>
      <c r="W2277" s="44"/>
      <c r="X2277" s="44"/>
      <c r="Y2277" s="44"/>
    </row>
    <row r="2278" spans="14:25" ht="15" customHeight="1" x14ac:dyDescent="0.25">
      <c r="N2278" s="44"/>
      <c r="O2278" s="44"/>
      <c r="P2278" s="44"/>
      <c r="Q2278" s="44"/>
      <c r="R2278" s="44"/>
      <c r="S2278" s="44"/>
      <c r="T2278" s="44"/>
      <c r="U2278" s="44"/>
      <c r="V2278" s="44"/>
      <c r="W2278" s="44"/>
      <c r="X2278" s="44"/>
      <c r="Y2278" s="44"/>
    </row>
    <row r="2279" spans="14:25" ht="15" customHeight="1" x14ac:dyDescent="0.25">
      <c r="N2279" s="44"/>
      <c r="O2279" s="44"/>
      <c r="P2279" s="44"/>
      <c r="Q2279" s="44"/>
      <c r="R2279" s="44"/>
      <c r="S2279" s="44"/>
      <c r="T2279" s="44"/>
      <c r="U2279" s="44"/>
      <c r="V2279" s="44"/>
      <c r="W2279" s="44"/>
      <c r="X2279" s="44"/>
      <c r="Y2279" s="44"/>
    </row>
    <row r="2280" spans="14:25" ht="15" customHeight="1" x14ac:dyDescent="0.25">
      <c r="N2280" s="44"/>
      <c r="O2280" s="44"/>
      <c r="P2280" s="44"/>
      <c r="Q2280" s="44"/>
      <c r="R2280" s="44"/>
      <c r="S2280" s="44"/>
      <c r="T2280" s="44"/>
      <c r="U2280" s="44"/>
      <c r="V2280" s="44"/>
      <c r="W2280" s="44"/>
      <c r="X2280" s="44"/>
      <c r="Y2280" s="44"/>
    </row>
    <row r="2281" spans="14:25" ht="15" customHeight="1" x14ac:dyDescent="0.25">
      <c r="N2281" s="44"/>
      <c r="O2281" s="44"/>
      <c r="P2281" s="44"/>
      <c r="Q2281" s="44"/>
      <c r="R2281" s="44"/>
      <c r="S2281" s="44"/>
      <c r="T2281" s="44"/>
      <c r="U2281" s="44"/>
      <c r="V2281" s="44"/>
      <c r="W2281" s="44"/>
      <c r="X2281" s="44"/>
      <c r="Y2281" s="44"/>
    </row>
    <row r="2282" spans="14:25" ht="15" customHeight="1" x14ac:dyDescent="0.25">
      <c r="N2282" s="44"/>
      <c r="O2282" s="44"/>
      <c r="P2282" s="44"/>
      <c r="Q2282" s="44"/>
      <c r="R2282" s="44"/>
      <c r="S2282" s="44"/>
      <c r="T2282" s="44"/>
      <c r="U2282" s="44"/>
      <c r="V2282" s="44"/>
      <c r="W2282" s="44"/>
      <c r="X2282" s="44"/>
      <c r="Y2282" s="44"/>
    </row>
    <row r="2283" spans="14:25" ht="15" customHeight="1" x14ac:dyDescent="0.25">
      <c r="N2283" s="44"/>
      <c r="O2283" s="44"/>
      <c r="P2283" s="44"/>
      <c r="Q2283" s="44"/>
      <c r="R2283" s="44"/>
      <c r="S2283" s="44"/>
      <c r="T2283" s="44"/>
      <c r="U2283" s="44"/>
      <c r="V2283" s="44"/>
      <c r="W2283" s="44"/>
      <c r="X2283" s="44"/>
      <c r="Y2283" s="44"/>
    </row>
    <row r="2284" spans="14:25" ht="15" customHeight="1" x14ac:dyDescent="0.25">
      <c r="N2284" s="44"/>
      <c r="O2284" s="44"/>
      <c r="P2284" s="44"/>
      <c r="Q2284" s="44"/>
      <c r="R2284" s="44"/>
      <c r="S2284" s="44"/>
      <c r="T2284" s="44"/>
      <c r="U2284" s="44"/>
      <c r="V2284" s="44"/>
      <c r="W2284" s="44"/>
      <c r="X2284" s="44"/>
      <c r="Y2284" s="44"/>
    </row>
    <row r="2285" spans="14:25" ht="15" customHeight="1" x14ac:dyDescent="0.25">
      <c r="N2285" s="44"/>
      <c r="O2285" s="44"/>
      <c r="P2285" s="44"/>
      <c r="Q2285" s="44"/>
      <c r="R2285" s="44"/>
      <c r="S2285" s="44"/>
      <c r="T2285" s="44"/>
      <c r="U2285" s="44"/>
      <c r="V2285" s="44"/>
      <c r="W2285" s="44"/>
      <c r="X2285" s="44"/>
      <c r="Y2285" s="44"/>
    </row>
    <row r="2286" spans="14:25" ht="15" customHeight="1" x14ac:dyDescent="0.25">
      <c r="N2286" s="44"/>
      <c r="O2286" s="44"/>
      <c r="P2286" s="44"/>
      <c r="Q2286" s="44"/>
      <c r="R2286" s="44"/>
      <c r="S2286" s="44"/>
      <c r="T2286" s="44"/>
      <c r="U2286" s="44"/>
      <c r="V2286" s="44"/>
      <c r="W2286" s="44"/>
      <c r="X2286" s="44"/>
      <c r="Y2286" s="44"/>
    </row>
    <row r="2287" spans="14:25" ht="15" customHeight="1" x14ac:dyDescent="0.25">
      <c r="N2287" s="44"/>
      <c r="O2287" s="44"/>
      <c r="P2287" s="44"/>
      <c r="Q2287" s="44"/>
      <c r="R2287" s="44"/>
      <c r="S2287" s="44"/>
      <c r="T2287" s="44"/>
      <c r="U2287" s="44"/>
      <c r="V2287" s="44"/>
      <c r="W2287" s="44"/>
      <c r="X2287" s="44"/>
      <c r="Y2287" s="44"/>
    </row>
    <row r="2288" spans="14:25" ht="15" customHeight="1" x14ac:dyDescent="0.25">
      <c r="N2288" s="44"/>
      <c r="O2288" s="44"/>
      <c r="P2288" s="44"/>
      <c r="Q2288" s="44"/>
      <c r="R2288" s="44"/>
      <c r="S2288" s="44"/>
      <c r="T2288" s="44"/>
      <c r="U2288" s="44"/>
      <c r="V2288" s="44"/>
      <c r="W2288" s="44"/>
      <c r="X2288" s="44"/>
      <c r="Y2288" s="44"/>
    </row>
    <row r="2289" spans="14:25" ht="15" customHeight="1" x14ac:dyDescent="0.25">
      <c r="N2289" s="44"/>
      <c r="O2289" s="44"/>
      <c r="P2289" s="44"/>
      <c r="Q2289" s="44"/>
      <c r="R2289" s="44"/>
      <c r="S2289" s="44"/>
      <c r="T2289" s="44"/>
      <c r="U2289" s="44"/>
      <c r="V2289" s="44"/>
      <c r="W2289" s="44"/>
      <c r="X2289" s="44"/>
      <c r="Y2289" s="44"/>
    </row>
    <row r="2290" spans="14:25" ht="15" customHeight="1" x14ac:dyDescent="0.25">
      <c r="N2290" s="44"/>
      <c r="O2290" s="44"/>
      <c r="P2290" s="44"/>
      <c r="Q2290" s="44"/>
      <c r="R2290" s="44"/>
      <c r="S2290" s="44"/>
      <c r="T2290" s="44"/>
      <c r="U2290" s="44"/>
      <c r="V2290" s="44"/>
      <c r="W2290" s="44"/>
      <c r="X2290" s="44"/>
      <c r="Y2290" s="44"/>
    </row>
    <row r="2291" spans="14:25" ht="15" customHeight="1" x14ac:dyDescent="0.25">
      <c r="N2291" s="44"/>
      <c r="O2291" s="44"/>
      <c r="P2291" s="44"/>
      <c r="Q2291" s="44"/>
      <c r="R2291" s="44"/>
      <c r="S2291" s="44"/>
      <c r="T2291" s="44"/>
      <c r="U2291" s="44"/>
      <c r="V2291" s="44"/>
      <c r="W2291" s="44"/>
      <c r="X2291" s="44"/>
      <c r="Y2291" s="44"/>
    </row>
    <row r="2292" spans="14:25" ht="15" customHeight="1" x14ac:dyDescent="0.25">
      <c r="N2292" s="44"/>
      <c r="O2292" s="44"/>
      <c r="P2292" s="44"/>
      <c r="Q2292" s="44"/>
      <c r="R2292" s="44"/>
      <c r="S2292" s="44"/>
      <c r="T2292" s="44"/>
      <c r="U2292" s="44"/>
      <c r="V2292" s="44"/>
      <c r="W2292" s="44"/>
      <c r="X2292" s="44"/>
      <c r="Y2292" s="44"/>
    </row>
    <row r="2293" spans="14:25" ht="15" customHeight="1" x14ac:dyDescent="0.25">
      <c r="N2293" s="44"/>
      <c r="O2293" s="44"/>
      <c r="P2293" s="44"/>
      <c r="Q2293" s="44"/>
      <c r="R2293" s="44"/>
      <c r="S2293" s="44"/>
      <c r="T2293" s="44"/>
      <c r="U2293" s="44"/>
      <c r="V2293" s="44"/>
      <c r="W2293" s="44"/>
      <c r="X2293" s="44"/>
      <c r="Y2293" s="44"/>
    </row>
    <row r="2294" spans="14:25" ht="15" customHeight="1" x14ac:dyDescent="0.25">
      <c r="N2294" s="44"/>
      <c r="O2294" s="44"/>
      <c r="P2294" s="44"/>
      <c r="Q2294" s="44"/>
      <c r="R2294" s="44"/>
      <c r="S2294" s="44"/>
      <c r="T2294" s="44"/>
      <c r="U2294" s="44"/>
      <c r="V2294" s="44"/>
      <c r="W2294" s="44"/>
      <c r="X2294" s="44"/>
      <c r="Y2294" s="44"/>
    </row>
    <row r="2295" spans="14:25" ht="15" customHeight="1" x14ac:dyDescent="0.25">
      <c r="N2295" s="44"/>
      <c r="O2295" s="44"/>
      <c r="P2295" s="44"/>
      <c r="Q2295" s="44"/>
      <c r="R2295" s="44"/>
      <c r="S2295" s="44"/>
      <c r="T2295" s="44"/>
      <c r="U2295" s="44"/>
      <c r="V2295" s="44"/>
      <c r="W2295" s="44"/>
      <c r="X2295" s="44"/>
      <c r="Y2295" s="44"/>
    </row>
    <row r="2296" spans="14:25" ht="15" customHeight="1" x14ac:dyDescent="0.25">
      <c r="N2296" s="44"/>
      <c r="O2296" s="44"/>
      <c r="P2296" s="44"/>
      <c r="Q2296" s="44"/>
      <c r="R2296" s="44"/>
      <c r="S2296" s="44"/>
      <c r="T2296" s="44"/>
      <c r="U2296" s="44"/>
      <c r="V2296" s="44"/>
      <c r="W2296" s="44"/>
      <c r="X2296" s="44"/>
      <c r="Y2296" s="44"/>
    </row>
    <row r="2297" spans="14:25" ht="15" customHeight="1" x14ac:dyDescent="0.25">
      <c r="N2297" s="44"/>
      <c r="O2297" s="44"/>
      <c r="P2297" s="44"/>
      <c r="Q2297" s="44"/>
      <c r="R2297" s="44"/>
      <c r="S2297" s="44"/>
      <c r="T2297" s="44"/>
      <c r="U2297" s="44"/>
      <c r="V2297" s="44"/>
      <c r="W2297" s="44"/>
      <c r="X2297" s="44"/>
      <c r="Y2297" s="44"/>
    </row>
    <row r="2298" spans="14:25" ht="15" customHeight="1" x14ac:dyDescent="0.25">
      <c r="N2298" s="44"/>
      <c r="O2298" s="44"/>
      <c r="P2298" s="44"/>
      <c r="Q2298" s="44"/>
      <c r="R2298" s="44"/>
      <c r="S2298" s="44"/>
      <c r="T2298" s="44"/>
      <c r="U2298" s="44"/>
      <c r="V2298" s="44"/>
      <c r="W2298" s="44"/>
      <c r="X2298" s="44"/>
      <c r="Y2298" s="44"/>
    </row>
    <row r="2299" spans="14:25" ht="15" customHeight="1" x14ac:dyDescent="0.25">
      <c r="N2299" s="44"/>
      <c r="O2299" s="44"/>
      <c r="P2299" s="44"/>
      <c r="Q2299" s="44"/>
      <c r="R2299" s="44"/>
      <c r="S2299" s="44"/>
      <c r="T2299" s="44"/>
      <c r="U2299" s="44"/>
      <c r="V2299" s="44"/>
      <c r="W2299" s="44"/>
      <c r="X2299" s="44"/>
      <c r="Y2299" s="44"/>
    </row>
    <row r="2300" spans="14:25" ht="15" customHeight="1" x14ac:dyDescent="0.25">
      <c r="N2300" s="44"/>
      <c r="O2300" s="44"/>
      <c r="P2300" s="44"/>
      <c r="Q2300" s="44"/>
      <c r="R2300" s="44"/>
      <c r="S2300" s="44"/>
      <c r="T2300" s="44"/>
      <c r="U2300" s="44"/>
      <c r="V2300" s="44"/>
      <c r="W2300" s="44"/>
      <c r="X2300" s="44"/>
      <c r="Y2300" s="44"/>
    </row>
    <row r="2301" spans="14:25" ht="15" customHeight="1" x14ac:dyDescent="0.25">
      <c r="N2301" s="44"/>
      <c r="O2301" s="44"/>
      <c r="P2301" s="44"/>
      <c r="Q2301" s="44"/>
      <c r="R2301" s="44"/>
      <c r="S2301" s="44"/>
      <c r="T2301" s="44"/>
      <c r="U2301" s="44"/>
      <c r="V2301" s="44"/>
      <c r="W2301" s="44"/>
      <c r="X2301" s="44"/>
      <c r="Y2301" s="44"/>
    </row>
    <row r="2302" spans="14:25" ht="15" customHeight="1" x14ac:dyDescent="0.25">
      <c r="N2302" s="44"/>
      <c r="O2302" s="44"/>
      <c r="P2302" s="44"/>
      <c r="Q2302" s="44"/>
      <c r="R2302" s="44"/>
      <c r="S2302" s="44"/>
      <c r="T2302" s="44"/>
      <c r="U2302" s="44"/>
      <c r="V2302" s="44"/>
      <c r="W2302" s="44"/>
      <c r="X2302" s="44"/>
      <c r="Y2302" s="44"/>
    </row>
    <row r="2303" spans="14:25" ht="15" customHeight="1" x14ac:dyDescent="0.25">
      <c r="N2303" s="44"/>
      <c r="O2303" s="44"/>
      <c r="P2303" s="44"/>
      <c r="Q2303" s="44"/>
      <c r="R2303" s="44"/>
      <c r="S2303" s="44"/>
      <c r="T2303" s="44"/>
      <c r="U2303" s="44"/>
      <c r="V2303" s="44"/>
      <c r="W2303" s="44"/>
      <c r="X2303" s="44"/>
      <c r="Y2303" s="44"/>
    </row>
    <row r="2304" spans="14:25" ht="15" customHeight="1" x14ac:dyDescent="0.25">
      <c r="N2304" s="44"/>
      <c r="O2304" s="44"/>
      <c r="P2304" s="44"/>
      <c r="Q2304" s="44"/>
      <c r="R2304" s="44"/>
      <c r="S2304" s="44"/>
      <c r="T2304" s="44"/>
      <c r="U2304" s="44"/>
      <c r="V2304" s="44"/>
      <c r="W2304" s="44"/>
      <c r="X2304" s="44"/>
      <c r="Y2304" s="44"/>
    </row>
    <row r="2305" spans="14:25" ht="15" customHeight="1" x14ac:dyDescent="0.25">
      <c r="N2305" s="44"/>
      <c r="O2305" s="44"/>
      <c r="P2305" s="44"/>
      <c r="Q2305" s="44"/>
      <c r="R2305" s="44"/>
      <c r="S2305" s="44"/>
      <c r="T2305" s="44"/>
      <c r="U2305" s="44"/>
      <c r="V2305" s="44"/>
      <c r="W2305" s="44"/>
      <c r="X2305" s="44"/>
      <c r="Y2305" s="44"/>
    </row>
    <row r="2306" spans="14:25" ht="15" customHeight="1" x14ac:dyDescent="0.25">
      <c r="N2306" s="44"/>
      <c r="O2306" s="44"/>
      <c r="P2306" s="44"/>
      <c r="Q2306" s="44"/>
      <c r="R2306" s="44"/>
      <c r="S2306" s="44"/>
      <c r="T2306" s="44"/>
      <c r="U2306" s="44"/>
      <c r="V2306" s="44"/>
      <c r="W2306" s="44"/>
      <c r="X2306" s="44"/>
      <c r="Y2306" s="44"/>
    </row>
    <row r="2307" spans="14:25" ht="15" customHeight="1" x14ac:dyDescent="0.25">
      <c r="N2307" s="44"/>
      <c r="O2307" s="44"/>
      <c r="P2307" s="44"/>
      <c r="Q2307" s="44"/>
      <c r="R2307" s="44"/>
      <c r="S2307" s="44"/>
      <c r="T2307" s="44"/>
      <c r="U2307" s="44"/>
      <c r="V2307" s="44"/>
      <c r="W2307" s="44"/>
      <c r="X2307" s="44"/>
      <c r="Y2307" s="44"/>
    </row>
    <row r="2308" spans="14:25" ht="15" customHeight="1" x14ac:dyDescent="0.25">
      <c r="N2308" s="44"/>
      <c r="O2308" s="44"/>
      <c r="P2308" s="44"/>
      <c r="Q2308" s="44"/>
      <c r="R2308" s="44"/>
      <c r="S2308" s="44"/>
      <c r="T2308" s="44"/>
      <c r="U2308" s="44"/>
      <c r="V2308" s="44"/>
      <c r="W2308" s="44"/>
      <c r="X2308" s="44"/>
      <c r="Y2308" s="44"/>
    </row>
    <row r="2309" spans="14:25" ht="15" customHeight="1" x14ac:dyDescent="0.25">
      <c r="N2309" s="44"/>
      <c r="O2309" s="44"/>
      <c r="P2309" s="44"/>
      <c r="Q2309" s="44"/>
      <c r="R2309" s="44"/>
      <c r="S2309" s="44"/>
      <c r="T2309" s="44"/>
      <c r="U2309" s="44"/>
      <c r="V2309" s="44"/>
      <c r="W2309" s="44"/>
      <c r="X2309" s="44"/>
      <c r="Y2309" s="44"/>
    </row>
    <row r="2310" spans="14:25" ht="15" customHeight="1" x14ac:dyDescent="0.25">
      <c r="N2310" s="44"/>
      <c r="O2310" s="44"/>
      <c r="P2310" s="44"/>
      <c r="Q2310" s="44"/>
      <c r="R2310" s="44"/>
      <c r="S2310" s="44"/>
      <c r="T2310" s="44"/>
      <c r="U2310" s="44"/>
      <c r="V2310" s="44"/>
      <c r="W2310" s="44"/>
      <c r="X2310" s="44"/>
      <c r="Y2310" s="44"/>
    </row>
    <row r="2311" spans="14:25" ht="15" customHeight="1" x14ac:dyDescent="0.25">
      <c r="N2311" s="44"/>
      <c r="O2311" s="44"/>
      <c r="P2311" s="44"/>
      <c r="Q2311" s="44"/>
      <c r="R2311" s="44"/>
      <c r="S2311" s="44"/>
      <c r="T2311" s="44"/>
      <c r="U2311" s="44"/>
      <c r="V2311" s="44"/>
      <c r="W2311" s="44"/>
      <c r="X2311" s="44"/>
      <c r="Y2311" s="44"/>
    </row>
    <row r="2312" spans="14:25" ht="15" customHeight="1" x14ac:dyDescent="0.25">
      <c r="N2312" s="44"/>
      <c r="O2312" s="44"/>
      <c r="P2312" s="44"/>
      <c r="Q2312" s="44"/>
      <c r="R2312" s="44"/>
      <c r="S2312" s="44"/>
      <c r="T2312" s="44"/>
      <c r="U2312" s="44"/>
      <c r="V2312" s="44"/>
      <c r="W2312" s="44"/>
      <c r="X2312" s="44"/>
      <c r="Y2312" s="44"/>
    </row>
    <row r="2313" spans="14:25" ht="15" customHeight="1" x14ac:dyDescent="0.25">
      <c r="N2313" s="44"/>
      <c r="O2313" s="44"/>
      <c r="P2313" s="44"/>
      <c r="Q2313" s="44"/>
      <c r="R2313" s="44"/>
      <c r="S2313" s="44"/>
      <c r="T2313" s="44"/>
      <c r="U2313" s="44"/>
      <c r="V2313" s="44"/>
      <c r="W2313" s="44"/>
      <c r="X2313" s="44"/>
      <c r="Y2313" s="44"/>
    </row>
    <row r="2314" spans="14:25" ht="15" customHeight="1" x14ac:dyDescent="0.25">
      <c r="N2314" s="44"/>
      <c r="O2314" s="44"/>
      <c r="P2314" s="44"/>
      <c r="Q2314" s="44"/>
      <c r="R2314" s="44"/>
      <c r="S2314" s="44"/>
      <c r="T2314" s="44"/>
      <c r="U2314" s="44"/>
      <c r="V2314" s="44"/>
      <c r="W2314" s="44"/>
      <c r="X2314" s="44"/>
      <c r="Y2314" s="44"/>
    </row>
    <row r="2315" spans="14:25" ht="15" customHeight="1" x14ac:dyDescent="0.25">
      <c r="N2315" s="44"/>
      <c r="O2315" s="44"/>
      <c r="P2315" s="44"/>
      <c r="Q2315" s="44"/>
      <c r="R2315" s="44"/>
      <c r="S2315" s="44"/>
      <c r="T2315" s="44"/>
      <c r="U2315" s="44"/>
      <c r="V2315" s="44"/>
      <c r="W2315" s="44"/>
      <c r="X2315" s="44"/>
      <c r="Y2315" s="44"/>
    </row>
    <row r="2316" spans="14:25" ht="15" customHeight="1" x14ac:dyDescent="0.25">
      <c r="N2316" s="44"/>
      <c r="O2316" s="44"/>
      <c r="P2316" s="44"/>
      <c r="Q2316" s="44"/>
      <c r="R2316" s="44"/>
      <c r="S2316" s="44"/>
      <c r="T2316" s="44"/>
      <c r="U2316" s="44"/>
      <c r="V2316" s="44"/>
      <c r="W2316" s="44"/>
      <c r="X2316" s="44"/>
      <c r="Y2316" s="44"/>
    </row>
    <row r="2317" spans="14:25" ht="15" customHeight="1" x14ac:dyDescent="0.25">
      <c r="N2317" s="44"/>
      <c r="O2317" s="44"/>
      <c r="P2317" s="44"/>
      <c r="Q2317" s="44"/>
      <c r="R2317" s="44"/>
      <c r="S2317" s="44"/>
      <c r="T2317" s="44"/>
      <c r="U2317" s="44"/>
      <c r="V2317" s="44"/>
      <c r="W2317" s="44"/>
      <c r="X2317" s="44"/>
      <c r="Y2317" s="44"/>
    </row>
    <row r="2318" spans="14:25" ht="15" customHeight="1" x14ac:dyDescent="0.25">
      <c r="N2318" s="44"/>
      <c r="O2318" s="44"/>
      <c r="P2318" s="44"/>
      <c r="Q2318" s="44"/>
      <c r="R2318" s="44"/>
      <c r="S2318" s="44"/>
      <c r="T2318" s="44"/>
      <c r="U2318" s="44"/>
      <c r="V2318" s="44"/>
      <c r="W2318" s="44"/>
      <c r="X2318" s="44"/>
      <c r="Y2318" s="44"/>
    </row>
    <row r="2319" spans="14:25" ht="15" customHeight="1" x14ac:dyDescent="0.25">
      <c r="N2319" s="44"/>
      <c r="O2319" s="44"/>
      <c r="P2319" s="44"/>
      <c r="Q2319" s="44"/>
      <c r="R2319" s="44"/>
      <c r="S2319" s="44"/>
      <c r="T2319" s="44"/>
      <c r="U2319" s="44"/>
      <c r="V2319" s="44"/>
      <c r="W2319" s="44"/>
      <c r="X2319" s="44"/>
      <c r="Y2319" s="44"/>
    </row>
    <row r="2320" spans="14:25" ht="15" customHeight="1" x14ac:dyDescent="0.25">
      <c r="N2320" s="44"/>
      <c r="O2320" s="44"/>
      <c r="P2320" s="44"/>
      <c r="Q2320" s="44"/>
      <c r="R2320" s="44"/>
      <c r="S2320" s="44"/>
      <c r="T2320" s="44"/>
      <c r="U2320" s="44"/>
      <c r="V2320" s="44"/>
      <c r="W2320" s="44"/>
      <c r="X2320" s="44"/>
      <c r="Y2320" s="44"/>
    </row>
    <row r="2321" spans="14:25" ht="15" customHeight="1" x14ac:dyDescent="0.25">
      <c r="N2321" s="44"/>
      <c r="O2321" s="44"/>
      <c r="P2321" s="44"/>
      <c r="Q2321" s="44"/>
      <c r="R2321" s="44"/>
      <c r="S2321" s="44"/>
      <c r="T2321" s="44"/>
      <c r="U2321" s="44"/>
      <c r="V2321" s="44"/>
      <c r="W2321" s="44"/>
      <c r="X2321" s="44"/>
      <c r="Y2321" s="44"/>
    </row>
    <row r="2322" spans="14:25" ht="15" customHeight="1" x14ac:dyDescent="0.25">
      <c r="N2322" s="44"/>
      <c r="O2322" s="44"/>
      <c r="P2322" s="44"/>
      <c r="Q2322" s="44"/>
      <c r="R2322" s="44"/>
      <c r="S2322" s="44"/>
      <c r="T2322" s="44"/>
      <c r="U2322" s="44"/>
      <c r="V2322" s="44"/>
      <c r="W2322" s="44"/>
      <c r="X2322" s="44"/>
      <c r="Y2322" s="44"/>
    </row>
    <row r="2323" spans="14:25" ht="15" customHeight="1" x14ac:dyDescent="0.25">
      <c r="N2323" s="44"/>
      <c r="O2323" s="44"/>
      <c r="P2323" s="44"/>
      <c r="Q2323" s="44"/>
      <c r="R2323" s="44"/>
      <c r="S2323" s="44"/>
      <c r="T2323" s="44"/>
      <c r="U2323" s="44"/>
      <c r="V2323" s="44"/>
      <c r="W2323" s="44"/>
      <c r="X2323" s="44"/>
      <c r="Y2323" s="44"/>
    </row>
    <row r="2324" spans="14:25" ht="15" customHeight="1" x14ac:dyDescent="0.25">
      <c r="N2324" s="44"/>
      <c r="O2324" s="44"/>
      <c r="P2324" s="44"/>
      <c r="Q2324" s="44"/>
      <c r="R2324" s="44"/>
      <c r="S2324" s="44"/>
      <c r="T2324" s="44"/>
      <c r="U2324" s="44"/>
      <c r="V2324" s="44"/>
      <c r="W2324" s="44"/>
      <c r="X2324" s="44"/>
      <c r="Y2324" s="44"/>
    </row>
    <row r="2325" spans="14:25" ht="15" customHeight="1" x14ac:dyDescent="0.25">
      <c r="N2325" s="44"/>
      <c r="O2325" s="44"/>
      <c r="P2325" s="44"/>
      <c r="Q2325" s="44"/>
      <c r="R2325" s="44"/>
      <c r="S2325" s="44"/>
      <c r="T2325" s="44"/>
      <c r="U2325" s="44"/>
      <c r="V2325" s="44"/>
      <c r="W2325" s="44"/>
      <c r="X2325" s="44"/>
      <c r="Y2325" s="44"/>
    </row>
    <row r="2326" spans="14:25" ht="15" customHeight="1" x14ac:dyDescent="0.25">
      <c r="N2326" s="44"/>
      <c r="O2326" s="44"/>
      <c r="P2326" s="44"/>
      <c r="Q2326" s="44"/>
      <c r="R2326" s="44"/>
      <c r="S2326" s="44"/>
      <c r="T2326" s="44"/>
      <c r="U2326" s="44"/>
      <c r="V2326" s="44"/>
      <c r="W2326" s="44"/>
      <c r="X2326" s="44"/>
      <c r="Y2326" s="44"/>
    </row>
    <row r="2327" spans="14:25" ht="15" customHeight="1" x14ac:dyDescent="0.25">
      <c r="N2327" s="44"/>
      <c r="O2327" s="44"/>
      <c r="P2327" s="44"/>
      <c r="Q2327" s="44"/>
      <c r="R2327" s="44"/>
      <c r="S2327" s="44"/>
      <c r="T2327" s="44"/>
      <c r="U2327" s="44"/>
      <c r="V2327" s="44"/>
      <c r="W2327" s="44"/>
      <c r="X2327" s="44"/>
      <c r="Y2327" s="44"/>
    </row>
    <row r="2328" spans="14:25" ht="15" customHeight="1" x14ac:dyDescent="0.25">
      <c r="N2328" s="44"/>
      <c r="O2328" s="44"/>
      <c r="P2328" s="44"/>
      <c r="Q2328" s="44"/>
      <c r="R2328" s="44"/>
      <c r="S2328" s="44"/>
      <c r="T2328" s="44"/>
      <c r="U2328" s="44"/>
      <c r="V2328" s="44"/>
      <c r="W2328" s="44"/>
      <c r="X2328" s="44"/>
      <c r="Y2328" s="44"/>
    </row>
    <row r="2329" spans="14:25" ht="15" customHeight="1" x14ac:dyDescent="0.25">
      <c r="N2329" s="44"/>
      <c r="O2329" s="44"/>
      <c r="P2329" s="44"/>
      <c r="Q2329" s="44"/>
      <c r="R2329" s="44"/>
      <c r="S2329" s="44"/>
      <c r="T2329" s="44"/>
      <c r="U2329" s="44"/>
      <c r="V2329" s="44"/>
      <c r="W2329" s="44"/>
      <c r="X2329" s="44"/>
      <c r="Y2329" s="44"/>
    </row>
    <row r="2330" spans="14:25" ht="15" customHeight="1" x14ac:dyDescent="0.25">
      <c r="N2330" s="44"/>
      <c r="O2330" s="44"/>
      <c r="P2330" s="44"/>
      <c r="Q2330" s="44"/>
      <c r="R2330" s="44"/>
      <c r="S2330" s="44"/>
      <c r="T2330" s="44"/>
      <c r="U2330" s="44"/>
      <c r="V2330" s="44"/>
      <c r="W2330" s="44"/>
      <c r="X2330" s="44"/>
      <c r="Y2330" s="44"/>
    </row>
    <row r="2331" spans="14:25" ht="15" customHeight="1" x14ac:dyDescent="0.25">
      <c r="N2331" s="44"/>
      <c r="O2331" s="44"/>
      <c r="P2331" s="44"/>
      <c r="Q2331" s="44"/>
      <c r="R2331" s="44"/>
      <c r="S2331" s="44"/>
      <c r="T2331" s="44"/>
      <c r="U2331" s="44"/>
      <c r="V2331" s="44"/>
      <c r="W2331" s="44"/>
      <c r="X2331" s="44"/>
      <c r="Y2331" s="44"/>
    </row>
    <row r="2332" spans="14:25" ht="15" customHeight="1" x14ac:dyDescent="0.25">
      <c r="N2332" s="44"/>
      <c r="O2332" s="44"/>
      <c r="P2332" s="44"/>
      <c r="Q2332" s="44"/>
      <c r="R2332" s="44"/>
      <c r="S2332" s="44"/>
      <c r="T2332" s="44"/>
      <c r="U2332" s="44"/>
      <c r="V2332" s="44"/>
      <c r="W2332" s="44"/>
      <c r="X2332" s="44"/>
      <c r="Y2332" s="44"/>
    </row>
    <row r="2333" spans="14:25" ht="15" customHeight="1" x14ac:dyDescent="0.25">
      <c r="N2333" s="44"/>
      <c r="O2333" s="44"/>
      <c r="P2333" s="44"/>
      <c r="Q2333" s="44"/>
      <c r="R2333" s="44"/>
      <c r="S2333" s="44"/>
      <c r="T2333" s="44"/>
      <c r="U2333" s="44"/>
      <c r="V2333" s="44"/>
      <c r="W2333" s="44"/>
      <c r="X2333" s="44"/>
      <c r="Y2333" s="44"/>
    </row>
    <row r="2334" spans="14:25" ht="15" customHeight="1" x14ac:dyDescent="0.25">
      <c r="N2334" s="44"/>
      <c r="O2334" s="44"/>
      <c r="P2334" s="44"/>
      <c r="Q2334" s="44"/>
      <c r="R2334" s="44"/>
      <c r="S2334" s="44"/>
      <c r="T2334" s="44"/>
      <c r="U2334" s="44"/>
      <c r="V2334" s="44"/>
      <c r="W2334" s="44"/>
      <c r="X2334" s="44"/>
      <c r="Y2334" s="44"/>
    </row>
    <row r="2335" spans="14:25" ht="15" customHeight="1" x14ac:dyDescent="0.25">
      <c r="N2335" s="44"/>
      <c r="O2335" s="44"/>
      <c r="P2335" s="44"/>
      <c r="Q2335" s="44"/>
      <c r="R2335" s="44"/>
      <c r="S2335" s="44"/>
      <c r="T2335" s="44"/>
      <c r="U2335" s="44"/>
      <c r="V2335" s="44"/>
      <c r="W2335" s="44"/>
      <c r="X2335" s="44"/>
      <c r="Y2335" s="44"/>
    </row>
    <row r="2336" spans="14:25" ht="15" customHeight="1" x14ac:dyDescent="0.25">
      <c r="N2336" s="44"/>
      <c r="O2336" s="44"/>
      <c r="P2336" s="44"/>
      <c r="Q2336" s="44"/>
      <c r="R2336" s="44"/>
      <c r="S2336" s="44"/>
      <c r="T2336" s="44"/>
      <c r="U2336" s="44"/>
      <c r="V2336" s="44"/>
      <c r="W2336" s="44"/>
      <c r="X2336" s="44"/>
      <c r="Y2336" s="44"/>
    </row>
    <row r="2337" spans="14:25" ht="15" customHeight="1" x14ac:dyDescent="0.25">
      <c r="N2337" s="44"/>
      <c r="O2337" s="44"/>
      <c r="P2337" s="44"/>
      <c r="Q2337" s="44"/>
      <c r="R2337" s="44"/>
      <c r="S2337" s="44"/>
      <c r="T2337" s="44"/>
      <c r="U2337" s="44"/>
      <c r="V2337" s="44"/>
      <c r="W2337" s="44"/>
      <c r="X2337" s="44"/>
      <c r="Y2337" s="44"/>
    </row>
    <row r="2338" spans="14:25" ht="15" customHeight="1" x14ac:dyDescent="0.25">
      <c r="N2338" s="44"/>
      <c r="O2338" s="44"/>
      <c r="P2338" s="44"/>
      <c r="Q2338" s="44"/>
      <c r="R2338" s="44"/>
      <c r="S2338" s="44"/>
      <c r="T2338" s="44"/>
      <c r="U2338" s="44"/>
      <c r="V2338" s="44"/>
      <c r="W2338" s="44"/>
      <c r="X2338" s="44"/>
      <c r="Y2338" s="44"/>
    </row>
    <row r="2339" spans="14:25" ht="15" customHeight="1" x14ac:dyDescent="0.25">
      <c r="N2339" s="44"/>
      <c r="O2339" s="44"/>
      <c r="P2339" s="44"/>
      <c r="Q2339" s="44"/>
      <c r="R2339" s="44"/>
      <c r="S2339" s="44"/>
      <c r="T2339" s="44"/>
      <c r="U2339" s="44"/>
      <c r="V2339" s="44"/>
      <c r="W2339" s="44"/>
      <c r="X2339" s="44"/>
      <c r="Y2339" s="44"/>
    </row>
    <row r="2340" spans="14:25" ht="15" customHeight="1" x14ac:dyDescent="0.25">
      <c r="N2340" s="44"/>
      <c r="O2340" s="44"/>
      <c r="P2340" s="44"/>
      <c r="Q2340" s="44"/>
      <c r="R2340" s="44"/>
      <c r="S2340" s="44"/>
      <c r="T2340" s="44"/>
      <c r="U2340" s="44"/>
      <c r="V2340" s="44"/>
      <c r="W2340" s="44"/>
      <c r="X2340" s="44"/>
      <c r="Y2340" s="44"/>
    </row>
    <row r="2341" spans="14:25" ht="15" customHeight="1" x14ac:dyDescent="0.25">
      <c r="N2341" s="44"/>
      <c r="O2341" s="44"/>
      <c r="P2341" s="44"/>
      <c r="Q2341" s="44"/>
      <c r="R2341" s="44"/>
      <c r="S2341" s="44"/>
      <c r="T2341" s="44"/>
      <c r="U2341" s="44"/>
      <c r="V2341" s="44"/>
      <c r="W2341" s="44"/>
      <c r="X2341" s="44"/>
      <c r="Y2341" s="44"/>
    </row>
    <row r="2342" spans="14:25" ht="15" customHeight="1" x14ac:dyDescent="0.25">
      <c r="N2342" s="44"/>
      <c r="O2342" s="44"/>
      <c r="P2342" s="44"/>
      <c r="Q2342" s="44"/>
      <c r="R2342" s="44"/>
      <c r="S2342" s="44"/>
      <c r="T2342" s="44"/>
      <c r="U2342" s="44"/>
      <c r="V2342" s="44"/>
      <c r="W2342" s="44"/>
      <c r="X2342" s="44"/>
      <c r="Y2342" s="44"/>
    </row>
    <row r="2343" spans="14:25" ht="15" customHeight="1" x14ac:dyDescent="0.25">
      <c r="N2343" s="44"/>
      <c r="O2343" s="44"/>
      <c r="P2343" s="44"/>
      <c r="Q2343" s="44"/>
      <c r="R2343" s="44"/>
      <c r="S2343" s="44"/>
      <c r="T2343" s="44"/>
      <c r="U2343" s="44"/>
      <c r="V2343" s="44"/>
      <c r="W2343" s="44"/>
      <c r="X2343" s="44"/>
      <c r="Y2343" s="44"/>
    </row>
    <row r="2344" spans="14:25" ht="15" customHeight="1" x14ac:dyDescent="0.25">
      <c r="N2344" s="44"/>
      <c r="O2344" s="44"/>
      <c r="P2344" s="44"/>
      <c r="Q2344" s="44"/>
      <c r="R2344" s="44"/>
      <c r="S2344" s="44"/>
      <c r="T2344" s="44"/>
      <c r="U2344" s="44"/>
      <c r="V2344" s="44"/>
      <c r="W2344" s="44"/>
      <c r="X2344" s="44"/>
      <c r="Y2344" s="44"/>
    </row>
    <row r="2345" spans="14:25" ht="15" customHeight="1" x14ac:dyDescent="0.25">
      <c r="N2345" s="44"/>
      <c r="O2345" s="44"/>
      <c r="P2345" s="44"/>
      <c r="Q2345" s="44"/>
      <c r="R2345" s="44"/>
      <c r="S2345" s="44"/>
      <c r="T2345" s="44"/>
      <c r="U2345" s="44"/>
      <c r="V2345" s="44"/>
      <c r="W2345" s="44"/>
      <c r="X2345" s="44"/>
      <c r="Y2345" s="44"/>
    </row>
    <row r="2346" spans="14:25" ht="15" customHeight="1" x14ac:dyDescent="0.25">
      <c r="N2346" s="44"/>
      <c r="O2346" s="44"/>
      <c r="P2346" s="44"/>
      <c r="Q2346" s="44"/>
      <c r="R2346" s="44"/>
      <c r="S2346" s="44"/>
      <c r="T2346" s="44"/>
      <c r="U2346" s="44"/>
      <c r="V2346" s="44"/>
      <c r="W2346" s="44"/>
      <c r="X2346" s="44"/>
      <c r="Y2346" s="44"/>
    </row>
    <row r="2347" spans="14:25" ht="15" customHeight="1" x14ac:dyDescent="0.25">
      <c r="N2347" s="44"/>
      <c r="O2347" s="44"/>
      <c r="P2347" s="44"/>
      <c r="Q2347" s="44"/>
      <c r="R2347" s="44"/>
      <c r="S2347" s="44"/>
      <c r="T2347" s="44"/>
      <c r="U2347" s="44"/>
      <c r="V2347" s="44"/>
      <c r="W2347" s="44"/>
      <c r="X2347" s="44"/>
      <c r="Y2347" s="44"/>
    </row>
    <row r="2348" spans="14:25" ht="15" customHeight="1" x14ac:dyDescent="0.25">
      <c r="N2348" s="44"/>
      <c r="O2348" s="44"/>
      <c r="P2348" s="44"/>
      <c r="Q2348" s="44"/>
      <c r="R2348" s="44"/>
      <c r="S2348" s="44"/>
      <c r="T2348" s="44"/>
      <c r="U2348" s="44"/>
      <c r="V2348" s="44"/>
      <c r="W2348" s="44"/>
      <c r="X2348" s="44"/>
      <c r="Y2348" s="44"/>
    </row>
    <row r="2349" spans="14:25" ht="15" customHeight="1" x14ac:dyDescent="0.25">
      <c r="N2349" s="44"/>
      <c r="O2349" s="44"/>
      <c r="P2349" s="44"/>
      <c r="Q2349" s="44"/>
      <c r="R2349" s="44"/>
      <c r="S2349" s="44"/>
      <c r="T2349" s="44"/>
      <c r="U2349" s="44"/>
      <c r="V2349" s="44"/>
      <c r="W2349" s="44"/>
      <c r="X2349" s="44"/>
      <c r="Y2349" s="44"/>
    </row>
    <row r="2350" spans="14:25" ht="15" customHeight="1" x14ac:dyDescent="0.25">
      <c r="N2350" s="44"/>
      <c r="O2350" s="44"/>
      <c r="P2350" s="44"/>
      <c r="Q2350" s="44"/>
      <c r="R2350" s="44"/>
      <c r="S2350" s="44"/>
      <c r="T2350" s="44"/>
      <c r="U2350" s="44"/>
      <c r="V2350" s="44"/>
      <c r="W2350" s="44"/>
      <c r="X2350" s="44"/>
      <c r="Y2350" s="44"/>
    </row>
    <row r="2351" spans="14:25" ht="15" customHeight="1" x14ac:dyDescent="0.25">
      <c r="N2351" s="44"/>
      <c r="O2351" s="44"/>
      <c r="P2351" s="44"/>
      <c r="Q2351" s="44"/>
      <c r="R2351" s="44"/>
      <c r="S2351" s="44"/>
      <c r="T2351" s="44"/>
      <c r="U2351" s="44"/>
      <c r="V2351" s="44"/>
      <c r="W2351" s="44"/>
      <c r="X2351" s="44"/>
      <c r="Y2351" s="44"/>
    </row>
    <row r="2352" spans="14:25" ht="15" customHeight="1" x14ac:dyDescent="0.25">
      <c r="N2352" s="44"/>
      <c r="O2352" s="44"/>
      <c r="P2352" s="44"/>
      <c r="Q2352" s="44"/>
      <c r="R2352" s="44"/>
      <c r="S2352" s="44"/>
      <c r="T2352" s="44"/>
      <c r="U2352" s="44"/>
      <c r="V2352" s="44"/>
      <c r="W2352" s="44"/>
      <c r="X2352" s="44"/>
      <c r="Y2352" s="44"/>
    </row>
    <row r="2353" spans="14:25" ht="15" customHeight="1" x14ac:dyDescent="0.25">
      <c r="N2353" s="44"/>
      <c r="O2353" s="44"/>
      <c r="P2353" s="44"/>
      <c r="Q2353" s="44"/>
      <c r="R2353" s="44"/>
      <c r="S2353" s="44"/>
      <c r="T2353" s="44"/>
      <c r="U2353" s="44"/>
      <c r="V2353" s="44"/>
      <c r="W2353" s="44"/>
      <c r="X2353" s="44"/>
      <c r="Y2353" s="44"/>
    </row>
    <row r="2354" spans="14:25" ht="15" customHeight="1" x14ac:dyDescent="0.25">
      <c r="N2354" s="44"/>
      <c r="O2354" s="44"/>
      <c r="P2354" s="44"/>
      <c r="Q2354" s="44"/>
      <c r="R2354" s="44"/>
      <c r="S2354" s="44"/>
      <c r="T2354" s="44"/>
      <c r="U2354" s="44"/>
      <c r="V2354" s="44"/>
      <c r="W2354" s="44"/>
      <c r="X2354" s="44"/>
      <c r="Y2354" s="44"/>
    </row>
    <row r="2355" spans="14:25" ht="15" customHeight="1" x14ac:dyDescent="0.25">
      <c r="N2355" s="44"/>
      <c r="O2355" s="44"/>
      <c r="P2355" s="44"/>
      <c r="Q2355" s="44"/>
      <c r="R2355" s="44"/>
      <c r="S2355" s="44"/>
      <c r="T2355" s="44"/>
      <c r="U2355" s="44"/>
      <c r="V2355" s="44"/>
      <c r="W2355" s="44"/>
      <c r="X2355" s="44"/>
      <c r="Y2355" s="44"/>
    </row>
    <row r="2356" spans="14:25" ht="15" customHeight="1" x14ac:dyDescent="0.25">
      <c r="N2356" s="44"/>
      <c r="O2356" s="44"/>
      <c r="P2356" s="44"/>
      <c r="Q2356" s="44"/>
      <c r="R2356" s="44"/>
      <c r="S2356" s="44"/>
      <c r="T2356" s="44"/>
      <c r="U2356" s="44"/>
      <c r="V2356" s="44"/>
      <c r="W2356" s="44"/>
      <c r="X2356" s="44"/>
      <c r="Y2356" s="44"/>
    </row>
    <row r="2357" spans="14:25" ht="15" customHeight="1" x14ac:dyDescent="0.25">
      <c r="N2357" s="44"/>
      <c r="O2357" s="44"/>
      <c r="P2357" s="44"/>
      <c r="Q2357" s="44"/>
      <c r="R2357" s="44"/>
      <c r="S2357" s="44"/>
      <c r="T2357" s="44"/>
      <c r="U2357" s="44"/>
      <c r="V2357" s="44"/>
      <c r="W2357" s="44"/>
      <c r="X2357" s="44"/>
      <c r="Y2357" s="44"/>
    </row>
    <row r="2358" spans="14:25" ht="15" customHeight="1" x14ac:dyDescent="0.25">
      <c r="N2358" s="44"/>
      <c r="O2358" s="44"/>
      <c r="P2358" s="44"/>
      <c r="Q2358" s="44"/>
      <c r="R2358" s="44"/>
      <c r="S2358" s="44"/>
      <c r="T2358" s="44"/>
      <c r="U2358" s="44"/>
      <c r="V2358" s="44"/>
      <c r="W2358" s="44"/>
      <c r="X2358" s="44"/>
      <c r="Y2358" s="44"/>
    </row>
    <row r="2359" spans="14:25" ht="15" customHeight="1" x14ac:dyDescent="0.25">
      <c r="N2359" s="44"/>
      <c r="O2359" s="44"/>
      <c r="P2359" s="44"/>
      <c r="Q2359" s="44"/>
      <c r="R2359" s="44"/>
      <c r="S2359" s="44"/>
      <c r="T2359" s="44"/>
      <c r="U2359" s="44"/>
      <c r="V2359" s="44"/>
      <c r="W2359" s="44"/>
      <c r="X2359" s="44"/>
      <c r="Y2359" s="44"/>
    </row>
    <row r="2360" spans="14:25" ht="15" customHeight="1" x14ac:dyDescent="0.25">
      <c r="N2360" s="44"/>
      <c r="O2360" s="44"/>
      <c r="P2360" s="44"/>
      <c r="Q2360" s="44"/>
      <c r="R2360" s="44"/>
      <c r="S2360" s="44"/>
      <c r="T2360" s="44"/>
      <c r="U2360" s="44"/>
      <c r="V2360" s="44"/>
      <c r="W2360" s="44"/>
      <c r="X2360" s="44"/>
      <c r="Y2360" s="44"/>
    </row>
    <row r="2361" spans="14:25" ht="15" customHeight="1" x14ac:dyDescent="0.25">
      <c r="N2361" s="44"/>
      <c r="O2361" s="44"/>
      <c r="P2361" s="44"/>
      <c r="Q2361" s="44"/>
      <c r="R2361" s="44"/>
      <c r="S2361" s="44"/>
      <c r="T2361" s="44"/>
      <c r="U2361" s="44"/>
      <c r="V2361" s="44"/>
      <c r="W2361" s="44"/>
      <c r="X2361" s="44"/>
      <c r="Y2361" s="44"/>
    </row>
    <row r="2362" spans="14:25" ht="15" customHeight="1" x14ac:dyDescent="0.25">
      <c r="N2362" s="44"/>
      <c r="O2362" s="44"/>
      <c r="P2362" s="44"/>
      <c r="Q2362" s="44"/>
      <c r="R2362" s="44"/>
      <c r="S2362" s="44"/>
      <c r="T2362" s="44"/>
      <c r="U2362" s="44"/>
      <c r="V2362" s="44"/>
      <c r="W2362" s="44"/>
      <c r="X2362" s="44"/>
      <c r="Y2362" s="44"/>
    </row>
    <row r="2363" spans="14:25" ht="15" customHeight="1" x14ac:dyDescent="0.25">
      <c r="N2363" s="44"/>
      <c r="O2363" s="44"/>
      <c r="P2363" s="44"/>
      <c r="Q2363" s="44"/>
      <c r="R2363" s="44"/>
      <c r="S2363" s="44"/>
      <c r="T2363" s="44"/>
      <c r="U2363" s="44"/>
      <c r="V2363" s="44"/>
      <c r="W2363" s="44"/>
      <c r="X2363" s="44"/>
      <c r="Y2363" s="44"/>
    </row>
    <row r="2364" spans="14:25" ht="15" customHeight="1" x14ac:dyDescent="0.25">
      <c r="N2364" s="44"/>
      <c r="O2364" s="44"/>
      <c r="P2364" s="44"/>
      <c r="Q2364" s="44"/>
      <c r="R2364" s="44"/>
      <c r="S2364" s="44"/>
      <c r="T2364" s="44"/>
      <c r="U2364" s="44"/>
      <c r="V2364" s="44"/>
      <c r="W2364" s="44"/>
      <c r="X2364" s="44"/>
      <c r="Y2364" s="44"/>
    </row>
    <row r="2365" spans="14:25" ht="15" customHeight="1" x14ac:dyDescent="0.25">
      <c r="N2365" s="44"/>
      <c r="O2365" s="44"/>
      <c r="P2365" s="44"/>
      <c r="Q2365" s="44"/>
      <c r="R2365" s="44"/>
      <c r="S2365" s="44"/>
      <c r="T2365" s="44"/>
      <c r="U2365" s="44"/>
      <c r="V2365" s="44"/>
      <c r="W2365" s="44"/>
      <c r="X2365" s="44"/>
      <c r="Y2365" s="44"/>
    </row>
    <row r="2366" spans="14:25" ht="15" customHeight="1" x14ac:dyDescent="0.25">
      <c r="N2366" s="44"/>
      <c r="O2366" s="44"/>
      <c r="P2366" s="44"/>
      <c r="Q2366" s="44"/>
      <c r="R2366" s="44"/>
      <c r="S2366" s="44"/>
      <c r="T2366" s="44"/>
      <c r="U2366" s="44"/>
      <c r="V2366" s="44"/>
      <c r="W2366" s="44"/>
      <c r="X2366" s="44"/>
      <c r="Y2366" s="44"/>
    </row>
    <row r="2367" spans="14:25" ht="15" customHeight="1" x14ac:dyDescent="0.25">
      <c r="N2367" s="44"/>
      <c r="O2367" s="44"/>
      <c r="P2367" s="44"/>
      <c r="Q2367" s="44"/>
      <c r="R2367" s="44"/>
      <c r="S2367" s="44"/>
      <c r="T2367" s="44"/>
      <c r="U2367" s="44"/>
      <c r="V2367" s="44"/>
      <c r="W2367" s="44"/>
      <c r="X2367" s="44"/>
      <c r="Y2367" s="44"/>
    </row>
    <row r="2368" spans="14:25" ht="15" customHeight="1" x14ac:dyDescent="0.25">
      <c r="N2368" s="44"/>
      <c r="O2368" s="44"/>
      <c r="P2368" s="44"/>
      <c r="Q2368" s="44"/>
      <c r="R2368" s="44"/>
      <c r="S2368" s="44"/>
      <c r="T2368" s="44"/>
      <c r="U2368" s="44"/>
      <c r="V2368" s="44"/>
      <c r="W2368" s="44"/>
      <c r="X2368" s="44"/>
      <c r="Y2368" s="44"/>
    </row>
    <row r="2369" spans="14:25" ht="15" customHeight="1" x14ac:dyDescent="0.25">
      <c r="N2369" s="44"/>
      <c r="O2369" s="44"/>
      <c r="P2369" s="44"/>
      <c r="Q2369" s="44"/>
      <c r="R2369" s="44"/>
      <c r="S2369" s="44"/>
      <c r="T2369" s="44"/>
      <c r="U2369" s="44"/>
      <c r="V2369" s="44"/>
      <c r="W2369" s="44"/>
      <c r="X2369" s="44"/>
      <c r="Y2369" s="44"/>
    </row>
    <row r="2370" spans="14:25" ht="15" customHeight="1" x14ac:dyDescent="0.25">
      <c r="N2370" s="44"/>
      <c r="O2370" s="44"/>
      <c r="P2370" s="44"/>
      <c r="Q2370" s="44"/>
      <c r="R2370" s="44"/>
      <c r="S2370" s="44"/>
      <c r="T2370" s="44"/>
      <c r="U2370" s="44"/>
      <c r="V2370" s="44"/>
      <c r="W2370" s="44"/>
      <c r="X2370" s="44"/>
      <c r="Y2370" s="44"/>
    </row>
    <row r="2371" spans="14:25" ht="15" customHeight="1" x14ac:dyDescent="0.25">
      <c r="N2371" s="44"/>
      <c r="O2371" s="44"/>
      <c r="P2371" s="44"/>
      <c r="Q2371" s="44"/>
      <c r="R2371" s="44"/>
      <c r="S2371" s="44"/>
      <c r="T2371" s="44"/>
      <c r="U2371" s="44"/>
      <c r="V2371" s="44"/>
      <c r="W2371" s="44"/>
      <c r="X2371" s="44"/>
      <c r="Y2371" s="44"/>
    </row>
    <row r="2372" spans="14:25" ht="15" customHeight="1" x14ac:dyDescent="0.25">
      <c r="N2372" s="44"/>
      <c r="O2372" s="44"/>
      <c r="P2372" s="44"/>
      <c r="Q2372" s="44"/>
      <c r="R2372" s="44"/>
      <c r="S2372" s="44"/>
      <c r="T2372" s="44"/>
      <c r="U2372" s="44"/>
      <c r="V2372" s="44"/>
      <c r="W2372" s="44"/>
      <c r="X2372" s="44"/>
      <c r="Y2372" s="44"/>
    </row>
    <row r="2373" spans="14:25" ht="15" customHeight="1" x14ac:dyDescent="0.25">
      <c r="N2373" s="44"/>
      <c r="O2373" s="44"/>
      <c r="P2373" s="44"/>
      <c r="Q2373" s="44"/>
      <c r="R2373" s="44"/>
      <c r="S2373" s="44"/>
      <c r="T2373" s="44"/>
      <c r="U2373" s="44"/>
      <c r="V2373" s="44"/>
      <c r="W2373" s="44"/>
      <c r="X2373" s="44"/>
      <c r="Y2373" s="44"/>
    </row>
    <row r="2374" spans="14:25" ht="15" customHeight="1" x14ac:dyDescent="0.25">
      <c r="N2374" s="44"/>
      <c r="O2374" s="44"/>
      <c r="P2374" s="44"/>
      <c r="Q2374" s="44"/>
      <c r="R2374" s="44"/>
      <c r="S2374" s="44"/>
      <c r="T2374" s="44"/>
      <c r="U2374" s="44"/>
      <c r="V2374" s="44"/>
      <c r="W2374" s="44"/>
      <c r="X2374" s="44"/>
      <c r="Y2374" s="44"/>
    </row>
    <row r="2375" spans="14:25" ht="15" customHeight="1" x14ac:dyDescent="0.25">
      <c r="N2375" s="44"/>
      <c r="O2375" s="44"/>
      <c r="P2375" s="44"/>
      <c r="Q2375" s="44"/>
      <c r="R2375" s="44"/>
      <c r="S2375" s="44"/>
      <c r="T2375" s="44"/>
      <c r="U2375" s="44"/>
      <c r="V2375" s="44"/>
      <c r="W2375" s="44"/>
      <c r="X2375" s="44"/>
      <c r="Y2375" s="44"/>
    </row>
    <row r="2376" spans="14:25" ht="15" customHeight="1" x14ac:dyDescent="0.25">
      <c r="N2376" s="44"/>
      <c r="O2376" s="44"/>
      <c r="P2376" s="44"/>
      <c r="Q2376" s="44"/>
      <c r="R2376" s="44"/>
      <c r="S2376" s="44"/>
      <c r="T2376" s="44"/>
      <c r="U2376" s="44"/>
      <c r="V2376" s="44"/>
      <c r="W2376" s="44"/>
      <c r="X2376" s="44"/>
      <c r="Y2376" s="44"/>
    </row>
    <row r="2377" spans="14:25" ht="15" customHeight="1" x14ac:dyDescent="0.25">
      <c r="N2377" s="44"/>
      <c r="O2377" s="44"/>
      <c r="P2377" s="44"/>
      <c r="Q2377" s="44"/>
      <c r="R2377" s="44"/>
      <c r="S2377" s="44"/>
      <c r="T2377" s="44"/>
      <c r="U2377" s="44"/>
      <c r="V2377" s="44"/>
      <c r="W2377" s="44"/>
      <c r="X2377" s="44"/>
      <c r="Y2377" s="44"/>
    </row>
    <row r="2378" spans="14:25" ht="15" customHeight="1" x14ac:dyDescent="0.25">
      <c r="N2378" s="44"/>
      <c r="O2378" s="44"/>
      <c r="P2378" s="44"/>
      <c r="Q2378" s="44"/>
      <c r="R2378" s="44"/>
      <c r="S2378" s="44"/>
      <c r="T2378" s="44"/>
      <c r="U2378" s="44"/>
      <c r="V2378" s="44"/>
      <c r="W2378" s="44"/>
      <c r="X2378" s="44"/>
      <c r="Y2378" s="44"/>
    </row>
    <row r="2379" spans="14:25" ht="15" customHeight="1" x14ac:dyDescent="0.25">
      <c r="N2379" s="44"/>
      <c r="O2379" s="44"/>
      <c r="P2379" s="44"/>
      <c r="Q2379" s="44"/>
      <c r="R2379" s="44"/>
      <c r="S2379" s="44"/>
      <c r="T2379" s="44"/>
      <c r="U2379" s="44"/>
      <c r="V2379" s="44"/>
      <c r="W2379" s="44"/>
      <c r="X2379" s="44"/>
      <c r="Y2379" s="44"/>
    </row>
    <row r="2380" spans="14:25" ht="15" customHeight="1" x14ac:dyDescent="0.25">
      <c r="N2380" s="44"/>
      <c r="O2380" s="44"/>
      <c r="P2380" s="44"/>
      <c r="Q2380" s="44"/>
      <c r="R2380" s="44"/>
      <c r="S2380" s="44"/>
      <c r="T2380" s="44"/>
      <c r="U2380" s="44"/>
      <c r="V2380" s="44"/>
      <c r="W2380" s="44"/>
      <c r="X2380" s="44"/>
      <c r="Y2380" s="44"/>
    </row>
    <row r="2381" spans="14:25" ht="15" customHeight="1" x14ac:dyDescent="0.25">
      <c r="N2381" s="44"/>
      <c r="O2381" s="44"/>
      <c r="P2381" s="44"/>
      <c r="Q2381" s="44"/>
      <c r="R2381" s="44"/>
      <c r="S2381" s="44"/>
      <c r="T2381" s="44"/>
      <c r="U2381" s="44"/>
      <c r="V2381" s="44"/>
      <c r="W2381" s="44"/>
      <c r="X2381" s="44"/>
      <c r="Y2381" s="44"/>
    </row>
    <row r="2382" spans="14:25" ht="15" customHeight="1" x14ac:dyDescent="0.25">
      <c r="N2382" s="44"/>
      <c r="O2382" s="44"/>
      <c r="P2382" s="44"/>
      <c r="Q2382" s="44"/>
      <c r="R2382" s="44"/>
      <c r="S2382" s="44"/>
      <c r="T2382" s="44"/>
      <c r="U2382" s="44"/>
      <c r="V2382" s="44"/>
      <c r="W2382" s="44"/>
      <c r="X2382" s="44"/>
      <c r="Y2382" s="44"/>
    </row>
    <row r="2383" spans="14:25" ht="15" customHeight="1" x14ac:dyDescent="0.25">
      <c r="N2383" s="44"/>
      <c r="O2383" s="44"/>
      <c r="P2383" s="44"/>
      <c r="Q2383" s="44"/>
      <c r="R2383" s="44"/>
      <c r="S2383" s="44"/>
      <c r="T2383" s="44"/>
      <c r="U2383" s="44"/>
      <c r="V2383" s="44"/>
      <c r="W2383" s="44"/>
      <c r="X2383" s="44"/>
      <c r="Y2383" s="44"/>
    </row>
    <row r="2384" spans="14:25" ht="15" customHeight="1" x14ac:dyDescent="0.25">
      <c r="N2384" s="44"/>
      <c r="O2384" s="44"/>
      <c r="P2384" s="44"/>
      <c r="Q2384" s="44"/>
      <c r="R2384" s="44"/>
      <c r="S2384" s="44"/>
      <c r="T2384" s="44"/>
      <c r="U2384" s="44"/>
      <c r="V2384" s="44"/>
      <c r="W2384" s="44"/>
      <c r="X2384" s="44"/>
      <c r="Y2384" s="44"/>
    </row>
    <row r="2385" spans="14:25" ht="15" customHeight="1" x14ac:dyDescent="0.25">
      <c r="N2385" s="44"/>
      <c r="O2385" s="44"/>
      <c r="P2385" s="44"/>
      <c r="Q2385" s="44"/>
      <c r="R2385" s="44"/>
      <c r="S2385" s="44"/>
      <c r="T2385" s="44"/>
      <c r="U2385" s="44"/>
      <c r="V2385" s="44"/>
      <c r="W2385" s="44"/>
      <c r="X2385" s="44"/>
      <c r="Y2385" s="44"/>
    </row>
    <row r="2386" spans="14:25" ht="15" customHeight="1" x14ac:dyDescent="0.25">
      <c r="N2386" s="44"/>
      <c r="O2386" s="44"/>
      <c r="P2386" s="44"/>
      <c r="Q2386" s="44"/>
      <c r="R2386" s="44"/>
      <c r="S2386" s="44"/>
      <c r="T2386" s="44"/>
      <c r="U2386" s="44"/>
      <c r="V2386" s="44"/>
      <c r="W2386" s="44"/>
      <c r="X2386" s="44"/>
      <c r="Y2386" s="44"/>
    </row>
    <row r="2387" spans="14:25" ht="15" customHeight="1" x14ac:dyDescent="0.25">
      <c r="N2387" s="44"/>
      <c r="O2387" s="44"/>
      <c r="P2387" s="44"/>
      <c r="Q2387" s="44"/>
      <c r="R2387" s="44"/>
      <c r="S2387" s="44"/>
      <c r="T2387" s="44"/>
      <c r="U2387" s="44"/>
      <c r="V2387" s="44"/>
      <c r="W2387" s="44"/>
      <c r="X2387" s="44"/>
      <c r="Y2387" s="44"/>
    </row>
    <row r="2388" spans="14:25" ht="15" customHeight="1" x14ac:dyDescent="0.25">
      <c r="N2388" s="44"/>
      <c r="O2388" s="44"/>
      <c r="P2388" s="44"/>
      <c r="Q2388" s="44"/>
      <c r="R2388" s="44"/>
      <c r="S2388" s="44"/>
      <c r="T2388" s="44"/>
      <c r="U2388" s="44"/>
      <c r="V2388" s="44"/>
      <c r="W2388" s="44"/>
      <c r="X2388" s="44"/>
      <c r="Y2388" s="44"/>
    </row>
    <row r="2389" spans="14:25" ht="15" customHeight="1" x14ac:dyDescent="0.25">
      <c r="N2389" s="44"/>
      <c r="O2389" s="44"/>
      <c r="P2389" s="44"/>
      <c r="Q2389" s="44"/>
      <c r="R2389" s="44"/>
      <c r="S2389" s="44"/>
      <c r="T2389" s="44"/>
      <c r="U2389" s="44"/>
      <c r="V2389" s="44"/>
      <c r="W2389" s="44"/>
      <c r="X2389" s="44"/>
      <c r="Y2389" s="44"/>
    </row>
    <row r="2390" spans="14:25" ht="15" customHeight="1" x14ac:dyDescent="0.25">
      <c r="N2390" s="44"/>
      <c r="O2390" s="44"/>
      <c r="P2390" s="44"/>
      <c r="Q2390" s="44"/>
      <c r="R2390" s="44"/>
      <c r="S2390" s="44"/>
      <c r="T2390" s="44"/>
      <c r="U2390" s="44"/>
      <c r="V2390" s="44"/>
      <c r="W2390" s="44"/>
      <c r="X2390" s="44"/>
      <c r="Y2390" s="44"/>
    </row>
    <row r="2391" spans="14:25" ht="15" customHeight="1" x14ac:dyDescent="0.25">
      <c r="N2391" s="44"/>
      <c r="O2391" s="44"/>
      <c r="P2391" s="44"/>
      <c r="Q2391" s="44"/>
      <c r="R2391" s="44"/>
      <c r="S2391" s="44"/>
      <c r="T2391" s="44"/>
      <c r="U2391" s="44"/>
      <c r="V2391" s="44"/>
      <c r="W2391" s="44"/>
      <c r="X2391" s="44"/>
      <c r="Y2391" s="44"/>
    </row>
    <row r="2392" spans="14:25" ht="15" customHeight="1" x14ac:dyDescent="0.25">
      <c r="N2392" s="44"/>
      <c r="O2392" s="44"/>
      <c r="P2392" s="44"/>
      <c r="Q2392" s="44"/>
      <c r="R2392" s="44"/>
      <c r="S2392" s="44"/>
      <c r="T2392" s="44"/>
      <c r="U2392" s="44"/>
      <c r="V2392" s="44"/>
      <c r="W2392" s="44"/>
      <c r="X2392" s="44"/>
      <c r="Y2392" s="44"/>
    </row>
    <row r="2393" spans="14:25" ht="15" customHeight="1" x14ac:dyDescent="0.25">
      <c r="N2393" s="44"/>
      <c r="O2393" s="44"/>
      <c r="P2393" s="44"/>
      <c r="Q2393" s="44"/>
      <c r="R2393" s="44"/>
      <c r="S2393" s="44"/>
      <c r="T2393" s="44"/>
      <c r="U2393" s="44"/>
      <c r="V2393" s="44"/>
      <c r="W2393" s="44"/>
      <c r="X2393" s="44"/>
      <c r="Y2393" s="44"/>
    </row>
    <row r="2394" spans="14:25" ht="15" customHeight="1" x14ac:dyDescent="0.25">
      <c r="N2394" s="44"/>
      <c r="O2394" s="44"/>
      <c r="P2394" s="44"/>
      <c r="Q2394" s="44"/>
      <c r="R2394" s="44"/>
      <c r="S2394" s="44"/>
      <c r="T2394" s="44"/>
      <c r="U2394" s="44"/>
      <c r="V2394" s="44"/>
      <c r="W2394" s="44"/>
      <c r="X2394" s="44"/>
      <c r="Y2394" s="44"/>
    </row>
    <row r="2395" spans="14:25" ht="15" customHeight="1" x14ac:dyDescent="0.25">
      <c r="N2395" s="44"/>
      <c r="O2395" s="44"/>
      <c r="P2395" s="44"/>
      <c r="Q2395" s="44"/>
      <c r="R2395" s="44"/>
      <c r="S2395" s="44"/>
      <c r="T2395" s="44"/>
      <c r="U2395" s="44"/>
      <c r="V2395" s="44"/>
      <c r="W2395" s="44"/>
      <c r="X2395" s="44"/>
      <c r="Y2395" s="44"/>
    </row>
    <row r="2396" spans="14:25" ht="15" customHeight="1" x14ac:dyDescent="0.25">
      <c r="N2396" s="44"/>
      <c r="O2396" s="44"/>
      <c r="P2396" s="44"/>
      <c r="Q2396" s="44"/>
      <c r="R2396" s="44"/>
      <c r="S2396" s="44"/>
      <c r="T2396" s="44"/>
      <c r="U2396" s="44"/>
      <c r="V2396" s="44"/>
      <c r="W2396" s="44"/>
      <c r="X2396" s="44"/>
      <c r="Y2396" s="44"/>
    </row>
    <row r="2397" spans="14:25" ht="15" customHeight="1" x14ac:dyDescent="0.25">
      <c r="N2397" s="44"/>
      <c r="O2397" s="44"/>
      <c r="P2397" s="44"/>
      <c r="Q2397" s="44"/>
      <c r="R2397" s="44"/>
      <c r="S2397" s="44"/>
      <c r="T2397" s="44"/>
      <c r="U2397" s="44"/>
      <c r="V2397" s="44"/>
      <c r="W2397" s="44"/>
      <c r="X2397" s="44"/>
      <c r="Y2397" s="44"/>
    </row>
    <row r="2398" spans="14:25" ht="15" customHeight="1" x14ac:dyDescent="0.25">
      <c r="N2398" s="44"/>
      <c r="O2398" s="44"/>
      <c r="P2398" s="44"/>
      <c r="Q2398" s="44"/>
      <c r="R2398" s="44"/>
      <c r="S2398" s="44"/>
      <c r="T2398" s="44"/>
      <c r="U2398" s="44"/>
      <c r="V2398" s="44"/>
      <c r="W2398" s="44"/>
      <c r="X2398" s="44"/>
      <c r="Y2398" s="44"/>
    </row>
    <row r="2399" spans="14:25" ht="15" customHeight="1" x14ac:dyDescent="0.25">
      <c r="N2399" s="44"/>
      <c r="O2399" s="44"/>
      <c r="P2399" s="44"/>
      <c r="Q2399" s="44"/>
      <c r="R2399" s="44"/>
      <c r="S2399" s="44"/>
      <c r="T2399" s="44"/>
      <c r="U2399" s="44"/>
      <c r="V2399" s="44"/>
      <c r="W2399" s="44"/>
      <c r="X2399" s="44"/>
      <c r="Y2399" s="44"/>
    </row>
    <row r="2400" spans="14:25" ht="15" customHeight="1" x14ac:dyDescent="0.25">
      <c r="N2400" s="44"/>
      <c r="O2400" s="44"/>
      <c r="P2400" s="44"/>
      <c r="Q2400" s="44"/>
      <c r="R2400" s="44"/>
      <c r="S2400" s="44"/>
      <c r="T2400" s="44"/>
      <c r="U2400" s="44"/>
      <c r="V2400" s="44"/>
      <c r="W2400" s="44"/>
      <c r="X2400" s="44"/>
      <c r="Y2400" s="44"/>
    </row>
    <row r="2401" spans="14:25" ht="15" customHeight="1" x14ac:dyDescent="0.25">
      <c r="N2401" s="44"/>
      <c r="O2401" s="44"/>
      <c r="P2401" s="44"/>
      <c r="Q2401" s="44"/>
      <c r="R2401" s="44"/>
      <c r="S2401" s="44"/>
      <c r="T2401" s="44"/>
      <c r="U2401" s="44"/>
      <c r="V2401" s="44"/>
      <c r="W2401" s="44"/>
      <c r="X2401" s="44"/>
      <c r="Y2401" s="44"/>
    </row>
    <row r="2402" spans="14:25" ht="15" customHeight="1" x14ac:dyDescent="0.25">
      <c r="N2402" s="44"/>
      <c r="O2402" s="44"/>
      <c r="P2402" s="44"/>
      <c r="Q2402" s="44"/>
      <c r="R2402" s="44"/>
      <c r="S2402" s="44"/>
      <c r="T2402" s="44"/>
      <c r="U2402" s="44"/>
      <c r="V2402" s="44"/>
      <c r="W2402" s="44"/>
      <c r="X2402" s="44"/>
      <c r="Y2402" s="44"/>
    </row>
    <row r="2403" spans="14:25" ht="15" customHeight="1" x14ac:dyDescent="0.25">
      <c r="N2403" s="44"/>
      <c r="O2403" s="44"/>
      <c r="P2403" s="44"/>
      <c r="Q2403" s="44"/>
      <c r="R2403" s="44"/>
      <c r="S2403" s="44"/>
      <c r="T2403" s="44"/>
      <c r="U2403" s="44"/>
      <c r="V2403" s="44"/>
      <c r="W2403" s="44"/>
      <c r="X2403" s="44"/>
      <c r="Y2403" s="44"/>
    </row>
    <row r="2404" spans="14:25" ht="15" customHeight="1" x14ac:dyDescent="0.25">
      <c r="N2404" s="44"/>
      <c r="O2404" s="44"/>
      <c r="P2404" s="44"/>
      <c r="Q2404" s="44"/>
      <c r="R2404" s="44"/>
      <c r="S2404" s="44"/>
      <c r="T2404" s="44"/>
      <c r="U2404" s="44"/>
      <c r="V2404" s="44"/>
      <c r="W2404" s="44"/>
      <c r="X2404" s="44"/>
      <c r="Y2404" s="44"/>
    </row>
    <row r="2405" spans="14:25" ht="15" customHeight="1" x14ac:dyDescent="0.25">
      <c r="N2405" s="44"/>
      <c r="O2405" s="44"/>
      <c r="P2405" s="44"/>
      <c r="Q2405" s="44"/>
      <c r="R2405" s="44"/>
      <c r="S2405" s="44"/>
      <c r="T2405" s="44"/>
      <c r="U2405" s="44"/>
      <c r="V2405" s="44"/>
      <c r="W2405" s="44"/>
      <c r="X2405" s="44"/>
      <c r="Y2405" s="44"/>
    </row>
    <row r="2406" spans="14:25" ht="15" customHeight="1" x14ac:dyDescent="0.25">
      <c r="N2406" s="44"/>
      <c r="O2406" s="44"/>
      <c r="P2406" s="44"/>
      <c r="Q2406" s="44"/>
      <c r="R2406" s="44"/>
      <c r="S2406" s="44"/>
      <c r="T2406" s="44"/>
      <c r="U2406" s="44"/>
      <c r="V2406" s="44"/>
      <c r="W2406" s="44"/>
      <c r="X2406" s="44"/>
      <c r="Y2406" s="44"/>
    </row>
    <row r="2407" spans="14:25" ht="15" customHeight="1" x14ac:dyDescent="0.25">
      <c r="N2407" s="44"/>
      <c r="O2407" s="44"/>
      <c r="P2407" s="44"/>
      <c r="Q2407" s="44"/>
      <c r="R2407" s="44"/>
      <c r="S2407" s="44"/>
      <c r="T2407" s="44"/>
      <c r="U2407" s="44"/>
      <c r="V2407" s="44"/>
      <c r="W2407" s="44"/>
      <c r="X2407" s="44"/>
      <c r="Y2407" s="44"/>
    </row>
    <row r="2408" spans="14:25" ht="15" customHeight="1" x14ac:dyDescent="0.25">
      <c r="N2408" s="44"/>
      <c r="O2408" s="44"/>
      <c r="P2408" s="44"/>
      <c r="Q2408" s="44"/>
      <c r="R2408" s="44"/>
      <c r="S2408" s="44"/>
      <c r="T2408" s="44"/>
      <c r="U2408" s="44"/>
      <c r="V2408" s="44"/>
      <c r="W2408" s="44"/>
      <c r="X2408" s="44"/>
      <c r="Y2408" s="44"/>
    </row>
    <row r="2409" spans="14:25" ht="15" customHeight="1" x14ac:dyDescent="0.25">
      <c r="N2409" s="44"/>
      <c r="O2409" s="44"/>
      <c r="P2409" s="44"/>
      <c r="Q2409" s="44"/>
      <c r="R2409" s="44"/>
      <c r="S2409" s="44"/>
      <c r="T2409" s="44"/>
      <c r="U2409" s="44"/>
      <c r="V2409" s="44"/>
      <c r="W2409" s="44"/>
      <c r="X2409" s="44"/>
      <c r="Y2409" s="44"/>
    </row>
    <row r="2410" spans="14:25" ht="15" customHeight="1" x14ac:dyDescent="0.25">
      <c r="N2410" s="44"/>
      <c r="O2410" s="44"/>
      <c r="P2410" s="44"/>
      <c r="Q2410" s="44"/>
      <c r="R2410" s="44"/>
      <c r="S2410" s="44"/>
      <c r="T2410" s="44"/>
      <c r="U2410" s="44"/>
      <c r="V2410" s="44"/>
      <c r="W2410" s="44"/>
      <c r="X2410" s="44"/>
      <c r="Y2410" s="44"/>
    </row>
    <row r="2411" spans="14:25" ht="15" customHeight="1" x14ac:dyDescent="0.25">
      <c r="N2411" s="44"/>
      <c r="O2411" s="44"/>
      <c r="P2411" s="44"/>
      <c r="Q2411" s="44"/>
      <c r="R2411" s="44"/>
      <c r="S2411" s="44"/>
      <c r="T2411" s="44"/>
      <c r="U2411" s="44"/>
      <c r="V2411" s="44"/>
      <c r="W2411" s="44"/>
      <c r="X2411" s="44"/>
      <c r="Y2411" s="44"/>
    </row>
    <row r="2412" spans="14:25" ht="15" customHeight="1" x14ac:dyDescent="0.25">
      <c r="N2412" s="44"/>
      <c r="O2412" s="44"/>
      <c r="P2412" s="44"/>
      <c r="Q2412" s="44"/>
      <c r="R2412" s="44"/>
      <c r="S2412" s="44"/>
      <c r="T2412" s="44"/>
      <c r="U2412" s="44"/>
      <c r="V2412" s="44"/>
      <c r="W2412" s="44"/>
      <c r="X2412" s="44"/>
      <c r="Y2412" s="44"/>
    </row>
    <row r="2413" spans="14:25" ht="15" customHeight="1" x14ac:dyDescent="0.25">
      <c r="N2413" s="44"/>
      <c r="O2413" s="44"/>
      <c r="P2413" s="44"/>
      <c r="Q2413" s="44"/>
      <c r="R2413" s="44"/>
      <c r="S2413" s="44"/>
      <c r="T2413" s="44"/>
      <c r="U2413" s="44"/>
      <c r="V2413" s="44"/>
      <c r="W2413" s="44"/>
      <c r="X2413" s="44"/>
      <c r="Y2413" s="44"/>
    </row>
    <row r="2414" spans="14:25" ht="15" customHeight="1" x14ac:dyDescent="0.25">
      <c r="N2414" s="44"/>
      <c r="O2414" s="44"/>
      <c r="P2414" s="44"/>
      <c r="Q2414" s="44"/>
      <c r="R2414" s="44"/>
      <c r="S2414" s="44"/>
      <c r="T2414" s="44"/>
      <c r="U2414" s="44"/>
      <c r="V2414" s="44"/>
      <c r="W2414" s="44"/>
      <c r="X2414" s="44"/>
      <c r="Y2414" s="44"/>
    </row>
    <row r="2415" spans="14:25" ht="15" customHeight="1" x14ac:dyDescent="0.25">
      <c r="N2415" s="44"/>
      <c r="O2415" s="44"/>
      <c r="P2415" s="44"/>
      <c r="Q2415" s="44"/>
      <c r="R2415" s="44"/>
      <c r="S2415" s="44"/>
      <c r="T2415" s="44"/>
      <c r="U2415" s="44"/>
      <c r="V2415" s="44"/>
      <c r="W2415" s="44"/>
      <c r="X2415" s="44"/>
      <c r="Y2415" s="44"/>
    </row>
    <row r="2416" spans="14:25" ht="15" customHeight="1" x14ac:dyDescent="0.25">
      <c r="N2416" s="44"/>
      <c r="O2416" s="44"/>
      <c r="P2416" s="44"/>
      <c r="Q2416" s="44"/>
      <c r="R2416" s="44"/>
      <c r="S2416" s="44"/>
      <c r="T2416" s="44"/>
      <c r="U2416" s="44"/>
      <c r="V2416" s="44"/>
      <c r="W2416" s="44"/>
      <c r="X2416" s="44"/>
      <c r="Y2416" s="44"/>
    </row>
    <row r="2417" spans="14:25" ht="15" customHeight="1" x14ac:dyDescent="0.25">
      <c r="N2417" s="44"/>
      <c r="O2417" s="44"/>
      <c r="P2417" s="44"/>
      <c r="Q2417" s="44"/>
      <c r="R2417" s="44"/>
      <c r="S2417" s="44"/>
      <c r="T2417" s="44"/>
      <c r="U2417" s="44"/>
      <c r="V2417" s="44"/>
      <c r="W2417" s="44"/>
      <c r="X2417" s="44"/>
      <c r="Y2417" s="44"/>
    </row>
    <row r="2418" spans="14:25" ht="15" customHeight="1" x14ac:dyDescent="0.25">
      <c r="N2418" s="44"/>
      <c r="O2418" s="44"/>
      <c r="P2418" s="44"/>
      <c r="Q2418" s="44"/>
      <c r="R2418" s="44"/>
      <c r="S2418" s="44"/>
      <c r="T2418" s="44"/>
      <c r="U2418" s="44"/>
      <c r="V2418" s="44"/>
      <c r="W2418" s="44"/>
      <c r="X2418" s="44"/>
      <c r="Y2418" s="44"/>
    </row>
    <row r="2419" spans="14:25" ht="15" customHeight="1" x14ac:dyDescent="0.25">
      <c r="N2419" s="44"/>
      <c r="O2419" s="44"/>
      <c r="P2419" s="44"/>
      <c r="Q2419" s="44"/>
      <c r="R2419" s="44"/>
      <c r="S2419" s="44"/>
      <c r="T2419" s="44"/>
      <c r="U2419" s="44"/>
      <c r="V2419" s="44"/>
      <c r="W2419" s="44"/>
      <c r="X2419" s="44"/>
      <c r="Y2419" s="44"/>
    </row>
    <row r="2420" spans="14:25" ht="15" customHeight="1" x14ac:dyDescent="0.25">
      <c r="N2420" s="44"/>
      <c r="O2420" s="44"/>
      <c r="P2420" s="44"/>
      <c r="Q2420" s="44"/>
      <c r="R2420" s="44"/>
      <c r="S2420" s="44"/>
      <c r="T2420" s="44"/>
      <c r="U2420" s="44"/>
      <c r="V2420" s="44"/>
      <c r="W2420" s="44"/>
      <c r="X2420" s="44"/>
      <c r="Y2420" s="44"/>
    </row>
    <row r="2421" spans="14:25" ht="15" customHeight="1" x14ac:dyDescent="0.25">
      <c r="N2421" s="44"/>
      <c r="O2421" s="44"/>
      <c r="P2421" s="44"/>
      <c r="Q2421" s="44"/>
      <c r="R2421" s="44"/>
      <c r="S2421" s="44"/>
      <c r="T2421" s="44"/>
      <c r="U2421" s="44"/>
      <c r="V2421" s="44"/>
      <c r="W2421" s="44"/>
      <c r="X2421" s="44"/>
      <c r="Y2421" s="44"/>
    </row>
    <row r="2422" spans="14:25" ht="15" customHeight="1" x14ac:dyDescent="0.25">
      <c r="N2422" s="44"/>
      <c r="O2422" s="44"/>
      <c r="P2422" s="44"/>
      <c r="Q2422" s="44"/>
      <c r="R2422" s="44"/>
      <c r="S2422" s="44"/>
      <c r="T2422" s="44"/>
      <c r="U2422" s="44"/>
      <c r="V2422" s="44"/>
      <c r="W2422" s="44"/>
      <c r="X2422" s="44"/>
      <c r="Y2422" s="44"/>
    </row>
    <row r="2423" spans="14:25" ht="15" customHeight="1" x14ac:dyDescent="0.25">
      <c r="N2423" s="44"/>
      <c r="O2423" s="44"/>
      <c r="P2423" s="44"/>
      <c r="Q2423" s="44"/>
      <c r="R2423" s="44"/>
      <c r="S2423" s="44"/>
      <c r="T2423" s="44"/>
      <c r="U2423" s="44"/>
      <c r="V2423" s="44"/>
      <c r="W2423" s="44"/>
      <c r="X2423" s="44"/>
      <c r="Y2423" s="44"/>
    </row>
    <row r="2424" spans="14:25" ht="15" customHeight="1" x14ac:dyDescent="0.25">
      <c r="N2424" s="44"/>
      <c r="O2424" s="44"/>
      <c r="P2424" s="44"/>
      <c r="Q2424" s="44"/>
      <c r="R2424" s="44"/>
      <c r="S2424" s="44"/>
      <c r="T2424" s="44"/>
      <c r="U2424" s="44"/>
      <c r="V2424" s="44"/>
      <c r="W2424" s="44"/>
      <c r="X2424" s="44"/>
      <c r="Y2424" s="44"/>
    </row>
    <row r="2425" spans="14:25" ht="15" customHeight="1" x14ac:dyDescent="0.25">
      <c r="N2425" s="44"/>
      <c r="O2425" s="44"/>
      <c r="P2425" s="44"/>
      <c r="Q2425" s="44"/>
      <c r="R2425" s="44"/>
      <c r="S2425" s="44"/>
      <c r="T2425" s="44"/>
      <c r="U2425" s="44"/>
      <c r="V2425" s="44"/>
      <c r="W2425" s="44"/>
      <c r="X2425" s="44"/>
      <c r="Y2425" s="44"/>
    </row>
    <row r="2426" spans="14:25" ht="15" customHeight="1" x14ac:dyDescent="0.25">
      <c r="N2426" s="44"/>
      <c r="O2426" s="44"/>
      <c r="P2426" s="44"/>
      <c r="Q2426" s="44"/>
      <c r="R2426" s="44"/>
      <c r="S2426" s="44"/>
      <c r="T2426" s="44"/>
      <c r="U2426" s="44"/>
      <c r="V2426" s="44"/>
      <c r="W2426" s="44"/>
      <c r="X2426" s="44"/>
      <c r="Y2426" s="44"/>
    </row>
    <row r="2427" spans="14:25" ht="15" customHeight="1" x14ac:dyDescent="0.25">
      <c r="N2427" s="44"/>
      <c r="O2427" s="44"/>
      <c r="P2427" s="44"/>
      <c r="Q2427" s="44"/>
      <c r="R2427" s="44"/>
      <c r="S2427" s="44"/>
      <c r="T2427" s="44"/>
      <c r="U2427" s="44"/>
      <c r="V2427" s="44"/>
      <c r="W2427" s="44"/>
      <c r="X2427" s="44"/>
      <c r="Y2427" s="44"/>
    </row>
    <row r="2428" spans="14:25" ht="15" customHeight="1" x14ac:dyDescent="0.25">
      <c r="N2428" s="44"/>
      <c r="O2428" s="44"/>
      <c r="P2428" s="44"/>
      <c r="Q2428" s="44"/>
      <c r="R2428" s="44"/>
      <c r="S2428" s="44"/>
      <c r="T2428" s="44"/>
      <c r="U2428" s="44"/>
      <c r="V2428" s="44"/>
      <c r="W2428" s="44"/>
      <c r="X2428" s="44"/>
      <c r="Y2428" s="44"/>
    </row>
    <row r="2429" spans="14:25" ht="15" customHeight="1" x14ac:dyDescent="0.25">
      <c r="N2429" s="44"/>
      <c r="O2429" s="44"/>
      <c r="P2429" s="44"/>
      <c r="Q2429" s="44"/>
      <c r="R2429" s="44"/>
      <c r="S2429" s="44"/>
      <c r="T2429" s="44"/>
      <c r="U2429" s="44"/>
      <c r="V2429" s="44"/>
      <c r="W2429" s="44"/>
      <c r="X2429" s="44"/>
      <c r="Y2429" s="44"/>
    </row>
    <row r="2430" spans="14:25" ht="15" customHeight="1" x14ac:dyDescent="0.25">
      <c r="N2430" s="44"/>
      <c r="O2430" s="44"/>
      <c r="P2430" s="44"/>
      <c r="Q2430" s="44"/>
      <c r="R2430" s="44"/>
      <c r="S2430" s="44"/>
      <c r="T2430" s="44"/>
      <c r="U2430" s="44"/>
      <c r="V2430" s="44"/>
      <c r="W2430" s="44"/>
      <c r="X2430" s="44"/>
      <c r="Y2430" s="44"/>
    </row>
    <row r="2431" spans="14:25" ht="15" customHeight="1" x14ac:dyDescent="0.25">
      <c r="N2431" s="44"/>
      <c r="O2431" s="44"/>
      <c r="P2431" s="44"/>
      <c r="Q2431" s="44"/>
      <c r="R2431" s="44"/>
      <c r="S2431" s="44"/>
      <c r="T2431" s="44"/>
      <c r="U2431" s="44"/>
      <c r="V2431" s="44"/>
      <c r="W2431" s="44"/>
      <c r="X2431" s="44"/>
      <c r="Y2431" s="44"/>
    </row>
    <row r="2432" spans="14:25" ht="15" customHeight="1" x14ac:dyDescent="0.25">
      <c r="N2432" s="44"/>
      <c r="O2432" s="44"/>
      <c r="P2432" s="44"/>
      <c r="Q2432" s="44"/>
      <c r="R2432" s="44"/>
      <c r="S2432" s="44"/>
      <c r="T2432" s="44"/>
      <c r="U2432" s="44"/>
      <c r="V2432" s="44"/>
      <c r="W2432" s="44"/>
      <c r="X2432" s="44"/>
      <c r="Y2432" s="44"/>
    </row>
    <row r="2433" spans="14:25" ht="15" customHeight="1" x14ac:dyDescent="0.25">
      <c r="N2433" s="44"/>
      <c r="O2433" s="44"/>
      <c r="P2433" s="44"/>
      <c r="Q2433" s="44"/>
      <c r="R2433" s="44"/>
      <c r="S2433" s="44"/>
      <c r="T2433" s="44"/>
      <c r="U2433" s="44"/>
      <c r="V2433" s="44"/>
      <c r="W2433" s="44"/>
      <c r="X2433" s="44"/>
      <c r="Y2433" s="44"/>
    </row>
    <row r="2434" spans="14:25" ht="15" customHeight="1" x14ac:dyDescent="0.25">
      <c r="N2434" s="44"/>
      <c r="O2434" s="44"/>
      <c r="P2434" s="44"/>
      <c r="Q2434" s="44"/>
      <c r="R2434" s="44"/>
      <c r="S2434" s="44"/>
      <c r="T2434" s="44"/>
      <c r="U2434" s="44"/>
      <c r="V2434" s="44"/>
      <c r="W2434" s="44"/>
      <c r="X2434" s="44"/>
      <c r="Y2434" s="44"/>
    </row>
    <row r="2435" spans="14:25" ht="15" customHeight="1" x14ac:dyDescent="0.25">
      <c r="N2435" s="44"/>
      <c r="O2435" s="44"/>
      <c r="P2435" s="44"/>
      <c r="Q2435" s="44"/>
      <c r="R2435" s="44"/>
      <c r="S2435" s="44"/>
      <c r="T2435" s="44"/>
      <c r="U2435" s="44"/>
      <c r="V2435" s="44"/>
      <c r="W2435" s="44"/>
      <c r="X2435" s="44"/>
      <c r="Y2435" s="44"/>
    </row>
    <row r="2436" spans="14:25" ht="15" customHeight="1" x14ac:dyDescent="0.25">
      <c r="N2436" s="44"/>
      <c r="O2436" s="44"/>
      <c r="P2436" s="44"/>
      <c r="Q2436" s="44"/>
      <c r="R2436" s="44"/>
      <c r="S2436" s="44"/>
      <c r="T2436" s="44"/>
      <c r="U2436" s="44"/>
      <c r="V2436" s="44"/>
      <c r="W2436" s="44"/>
      <c r="X2436" s="44"/>
      <c r="Y2436" s="44"/>
    </row>
    <row r="2437" spans="14:25" ht="15" customHeight="1" x14ac:dyDescent="0.25">
      <c r="N2437" s="44"/>
      <c r="O2437" s="44"/>
      <c r="P2437" s="44"/>
      <c r="Q2437" s="44"/>
      <c r="R2437" s="44"/>
      <c r="S2437" s="44"/>
      <c r="T2437" s="44"/>
      <c r="U2437" s="44"/>
      <c r="V2437" s="44"/>
      <c r="W2437" s="44"/>
      <c r="X2437" s="44"/>
      <c r="Y2437" s="44"/>
    </row>
    <row r="2438" spans="14:25" ht="15" customHeight="1" x14ac:dyDescent="0.25">
      <c r="N2438" s="44"/>
      <c r="O2438" s="44"/>
      <c r="P2438" s="44"/>
      <c r="Q2438" s="44"/>
      <c r="R2438" s="44"/>
      <c r="S2438" s="44"/>
      <c r="T2438" s="44"/>
      <c r="U2438" s="44"/>
      <c r="V2438" s="44"/>
      <c r="W2438" s="44"/>
      <c r="X2438" s="44"/>
      <c r="Y2438" s="44"/>
    </row>
    <row r="2439" spans="14:25" ht="15" customHeight="1" x14ac:dyDescent="0.25">
      <c r="N2439" s="44"/>
      <c r="O2439" s="44"/>
      <c r="P2439" s="44"/>
      <c r="Q2439" s="44"/>
      <c r="R2439" s="44"/>
      <c r="S2439" s="44"/>
      <c r="T2439" s="44"/>
      <c r="U2439" s="44"/>
      <c r="V2439" s="44"/>
      <c r="W2439" s="44"/>
      <c r="X2439" s="44"/>
      <c r="Y2439" s="44"/>
    </row>
    <row r="2440" spans="14:25" ht="15" customHeight="1" x14ac:dyDescent="0.25">
      <c r="N2440" s="44"/>
      <c r="O2440" s="44"/>
      <c r="P2440" s="44"/>
      <c r="Q2440" s="44"/>
      <c r="R2440" s="44"/>
      <c r="S2440" s="44"/>
      <c r="T2440" s="44"/>
      <c r="U2440" s="44"/>
      <c r="V2440" s="44"/>
      <c r="W2440" s="44"/>
      <c r="X2440" s="44"/>
      <c r="Y2440" s="44"/>
    </row>
    <row r="2441" spans="14:25" ht="15" customHeight="1" x14ac:dyDescent="0.25">
      <c r="N2441" s="44"/>
      <c r="O2441" s="44"/>
      <c r="P2441" s="44"/>
      <c r="Q2441" s="44"/>
      <c r="R2441" s="44"/>
      <c r="S2441" s="44"/>
      <c r="T2441" s="44"/>
      <c r="U2441" s="44"/>
      <c r="V2441" s="44"/>
      <c r="W2441" s="44"/>
      <c r="X2441" s="44"/>
      <c r="Y2441" s="44"/>
    </row>
    <row r="2442" spans="14:25" ht="15" customHeight="1" x14ac:dyDescent="0.25">
      <c r="N2442" s="44"/>
      <c r="O2442" s="44"/>
      <c r="P2442" s="44"/>
      <c r="Q2442" s="44"/>
      <c r="R2442" s="44"/>
      <c r="S2442" s="44"/>
      <c r="T2442" s="44"/>
      <c r="U2442" s="44"/>
      <c r="V2442" s="44"/>
      <c r="W2442" s="44"/>
      <c r="X2442" s="44"/>
      <c r="Y2442" s="44"/>
    </row>
    <row r="2443" spans="14:25" ht="15" customHeight="1" x14ac:dyDescent="0.25">
      <c r="N2443" s="44"/>
      <c r="O2443" s="44"/>
      <c r="P2443" s="44"/>
      <c r="Q2443" s="44"/>
      <c r="R2443" s="44"/>
      <c r="S2443" s="44"/>
      <c r="T2443" s="44"/>
      <c r="U2443" s="44"/>
      <c r="V2443" s="44"/>
      <c r="W2443" s="44"/>
      <c r="X2443" s="44"/>
      <c r="Y2443" s="44"/>
    </row>
    <row r="2444" spans="14:25" ht="15" customHeight="1" x14ac:dyDescent="0.25">
      <c r="N2444" s="44"/>
      <c r="O2444" s="44"/>
      <c r="P2444" s="44"/>
      <c r="Q2444" s="44"/>
      <c r="R2444" s="44"/>
      <c r="S2444" s="44"/>
      <c r="T2444" s="44"/>
      <c r="U2444" s="44"/>
      <c r="V2444" s="44"/>
      <c r="W2444" s="44"/>
      <c r="X2444" s="44"/>
      <c r="Y2444" s="44"/>
    </row>
    <row r="2445" spans="14:25" ht="15" customHeight="1" x14ac:dyDescent="0.25">
      <c r="N2445" s="44"/>
      <c r="O2445" s="44"/>
      <c r="P2445" s="44"/>
      <c r="Q2445" s="44"/>
      <c r="R2445" s="44"/>
      <c r="S2445" s="44"/>
      <c r="T2445" s="44"/>
      <c r="U2445" s="44"/>
      <c r="V2445" s="44"/>
      <c r="W2445" s="44"/>
      <c r="X2445" s="44"/>
      <c r="Y2445" s="44"/>
    </row>
    <row r="2446" spans="14:25" ht="15" customHeight="1" x14ac:dyDescent="0.25">
      <c r="N2446" s="44"/>
      <c r="O2446" s="44"/>
      <c r="P2446" s="44"/>
      <c r="Q2446" s="44"/>
      <c r="R2446" s="44"/>
      <c r="S2446" s="44"/>
      <c r="T2446" s="44"/>
      <c r="U2446" s="44"/>
      <c r="V2446" s="44"/>
      <c r="W2446" s="44"/>
      <c r="X2446" s="44"/>
      <c r="Y2446" s="44"/>
    </row>
    <row r="2447" spans="14:25" ht="15" customHeight="1" x14ac:dyDescent="0.25">
      <c r="N2447" s="44"/>
      <c r="O2447" s="44"/>
      <c r="P2447" s="44"/>
      <c r="Q2447" s="44"/>
      <c r="R2447" s="44"/>
      <c r="S2447" s="44"/>
      <c r="T2447" s="44"/>
      <c r="U2447" s="44"/>
      <c r="V2447" s="44"/>
      <c r="W2447" s="44"/>
      <c r="X2447" s="44"/>
      <c r="Y2447" s="44"/>
    </row>
    <row r="2448" spans="14:25" ht="15" customHeight="1" x14ac:dyDescent="0.25">
      <c r="N2448" s="44"/>
      <c r="O2448" s="44"/>
      <c r="P2448" s="44"/>
      <c r="Q2448" s="44"/>
      <c r="R2448" s="44"/>
      <c r="S2448" s="44"/>
      <c r="T2448" s="44"/>
      <c r="U2448" s="44"/>
      <c r="V2448" s="44"/>
      <c r="W2448" s="44"/>
      <c r="X2448" s="44"/>
      <c r="Y2448" s="44"/>
    </row>
    <row r="2449" spans="14:25" ht="15" customHeight="1" x14ac:dyDescent="0.25">
      <c r="N2449" s="44"/>
      <c r="O2449" s="44"/>
      <c r="P2449" s="44"/>
      <c r="Q2449" s="44"/>
      <c r="R2449" s="44"/>
      <c r="S2449" s="44"/>
      <c r="T2449" s="44"/>
      <c r="U2449" s="44"/>
      <c r="V2449" s="44"/>
      <c r="W2449" s="44"/>
      <c r="X2449" s="44"/>
      <c r="Y2449" s="44"/>
    </row>
    <row r="2450" spans="14:25" ht="15" customHeight="1" x14ac:dyDescent="0.25">
      <c r="N2450" s="44"/>
      <c r="O2450" s="44"/>
      <c r="P2450" s="44"/>
      <c r="Q2450" s="44"/>
      <c r="R2450" s="44"/>
      <c r="S2450" s="44"/>
      <c r="T2450" s="44"/>
      <c r="U2450" s="44"/>
      <c r="V2450" s="44"/>
      <c r="W2450" s="44"/>
      <c r="X2450" s="44"/>
      <c r="Y2450" s="44"/>
    </row>
    <row r="2451" spans="14:25" ht="15" customHeight="1" x14ac:dyDescent="0.25">
      <c r="N2451" s="44"/>
      <c r="O2451" s="44"/>
      <c r="P2451" s="44"/>
      <c r="Q2451" s="44"/>
      <c r="R2451" s="44"/>
      <c r="S2451" s="44"/>
      <c r="T2451" s="44"/>
      <c r="U2451" s="44"/>
      <c r="V2451" s="44"/>
      <c r="W2451" s="44"/>
      <c r="X2451" s="44"/>
      <c r="Y2451" s="44"/>
    </row>
    <row r="2452" spans="14:25" ht="15" customHeight="1" x14ac:dyDescent="0.25">
      <c r="N2452" s="44"/>
      <c r="O2452" s="44"/>
      <c r="P2452" s="44"/>
      <c r="Q2452" s="44"/>
      <c r="R2452" s="44"/>
      <c r="S2452" s="44"/>
      <c r="T2452" s="44"/>
      <c r="U2452" s="44"/>
      <c r="V2452" s="44"/>
      <c r="W2452" s="44"/>
      <c r="X2452" s="44"/>
      <c r="Y2452" s="44"/>
    </row>
    <row r="2453" spans="14:25" ht="15" customHeight="1" x14ac:dyDescent="0.25">
      <c r="N2453" s="44"/>
      <c r="O2453" s="44"/>
      <c r="P2453" s="44"/>
      <c r="Q2453" s="44"/>
      <c r="R2453" s="44"/>
      <c r="S2453" s="44"/>
      <c r="T2453" s="44"/>
      <c r="U2453" s="44"/>
      <c r="V2453" s="44"/>
      <c r="W2453" s="44"/>
      <c r="X2453" s="44"/>
      <c r="Y2453" s="44"/>
    </row>
    <row r="2454" spans="14:25" ht="15" customHeight="1" x14ac:dyDescent="0.25">
      <c r="N2454" s="44"/>
      <c r="O2454" s="44"/>
      <c r="P2454" s="44"/>
      <c r="Q2454" s="44"/>
      <c r="R2454" s="44"/>
      <c r="S2454" s="44"/>
      <c r="T2454" s="44"/>
      <c r="U2454" s="44"/>
      <c r="V2454" s="44"/>
      <c r="W2454" s="44"/>
      <c r="X2454" s="44"/>
      <c r="Y2454" s="44"/>
    </row>
    <row r="2455" spans="14:25" ht="15" customHeight="1" x14ac:dyDescent="0.25">
      <c r="N2455" s="44"/>
      <c r="O2455" s="44"/>
      <c r="P2455" s="44"/>
      <c r="Q2455" s="44"/>
      <c r="R2455" s="44"/>
      <c r="S2455" s="44"/>
      <c r="T2455" s="44"/>
      <c r="U2455" s="44"/>
      <c r="V2455" s="44"/>
      <c r="W2455" s="44"/>
      <c r="X2455" s="44"/>
      <c r="Y2455" s="44"/>
    </row>
    <row r="2456" spans="14:25" ht="15" customHeight="1" x14ac:dyDescent="0.25">
      <c r="N2456" s="44"/>
      <c r="O2456" s="44"/>
      <c r="P2456" s="44"/>
      <c r="Q2456" s="44"/>
      <c r="R2456" s="44"/>
      <c r="S2456" s="44"/>
      <c r="T2456" s="44"/>
      <c r="U2456" s="44"/>
      <c r="V2456" s="44"/>
      <c r="W2456" s="44"/>
      <c r="X2456" s="44"/>
      <c r="Y2456" s="44"/>
    </row>
    <row r="2457" spans="14:25" ht="15" customHeight="1" x14ac:dyDescent="0.25">
      <c r="N2457" s="44"/>
      <c r="O2457" s="44"/>
      <c r="P2457" s="44"/>
      <c r="Q2457" s="44"/>
      <c r="R2457" s="44"/>
      <c r="S2457" s="44"/>
      <c r="T2457" s="44"/>
      <c r="U2457" s="44"/>
      <c r="V2457" s="44"/>
      <c r="W2457" s="44"/>
      <c r="X2457" s="44"/>
      <c r="Y2457" s="44"/>
    </row>
    <row r="2458" spans="14:25" ht="15" customHeight="1" x14ac:dyDescent="0.25">
      <c r="N2458" s="44"/>
      <c r="O2458" s="44"/>
      <c r="P2458" s="44"/>
      <c r="Q2458" s="44"/>
      <c r="R2458" s="44"/>
      <c r="S2458" s="44"/>
      <c r="T2458" s="44"/>
      <c r="U2458" s="44"/>
      <c r="V2458" s="44"/>
      <c r="W2458" s="44"/>
      <c r="X2458" s="44"/>
      <c r="Y2458" s="44"/>
    </row>
    <row r="2459" spans="14:25" ht="15" customHeight="1" x14ac:dyDescent="0.25">
      <c r="N2459" s="44"/>
      <c r="O2459" s="44"/>
      <c r="P2459" s="44"/>
      <c r="Q2459" s="44"/>
      <c r="R2459" s="44"/>
      <c r="S2459" s="44"/>
      <c r="T2459" s="44"/>
      <c r="U2459" s="44"/>
      <c r="V2459" s="44"/>
      <c r="W2459" s="44"/>
      <c r="X2459" s="44"/>
      <c r="Y2459" s="44"/>
    </row>
    <row r="2460" spans="14:25" ht="15" customHeight="1" x14ac:dyDescent="0.25">
      <c r="N2460" s="44"/>
      <c r="O2460" s="44"/>
      <c r="P2460" s="44"/>
      <c r="Q2460" s="44"/>
      <c r="R2460" s="44"/>
      <c r="S2460" s="44"/>
      <c r="T2460" s="44"/>
      <c r="U2460" s="44"/>
      <c r="V2460" s="44"/>
      <c r="W2460" s="44"/>
      <c r="X2460" s="44"/>
      <c r="Y2460" s="44"/>
    </row>
    <row r="2461" spans="14:25" ht="15" customHeight="1" x14ac:dyDescent="0.25">
      <c r="N2461" s="44"/>
      <c r="O2461" s="44"/>
      <c r="P2461" s="44"/>
      <c r="Q2461" s="44"/>
      <c r="R2461" s="44"/>
      <c r="S2461" s="44"/>
      <c r="T2461" s="44"/>
      <c r="U2461" s="44"/>
      <c r="V2461" s="44"/>
      <c r="W2461" s="44"/>
      <c r="X2461" s="44"/>
      <c r="Y2461" s="44"/>
    </row>
    <row r="2462" spans="14:25" ht="15" customHeight="1" x14ac:dyDescent="0.25">
      <c r="N2462" s="44"/>
      <c r="O2462" s="44"/>
      <c r="P2462" s="44"/>
      <c r="Q2462" s="44"/>
      <c r="R2462" s="44"/>
      <c r="S2462" s="44"/>
      <c r="T2462" s="44"/>
      <c r="U2462" s="44"/>
      <c r="V2462" s="44"/>
      <c r="W2462" s="44"/>
      <c r="X2462" s="44"/>
      <c r="Y2462" s="44"/>
    </row>
    <row r="2463" spans="14:25" ht="15" customHeight="1" x14ac:dyDescent="0.25">
      <c r="N2463" s="44"/>
      <c r="O2463" s="44"/>
      <c r="P2463" s="44"/>
      <c r="Q2463" s="44"/>
      <c r="R2463" s="44"/>
      <c r="S2463" s="44"/>
      <c r="T2463" s="44"/>
      <c r="U2463" s="44"/>
      <c r="V2463" s="44"/>
      <c r="W2463" s="44"/>
      <c r="X2463" s="44"/>
      <c r="Y2463" s="44"/>
    </row>
    <row r="2464" spans="14:25" ht="15" customHeight="1" x14ac:dyDescent="0.25">
      <c r="N2464" s="44"/>
      <c r="O2464" s="44"/>
      <c r="P2464" s="44"/>
      <c r="Q2464" s="44"/>
      <c r="R2464" s="44"/>
      <c r="S2464" s="44"/>
      <c r="T2464" s="44"/>
      <c r="U2464" s="44"/>
      <c r="V2464" s="44"/>
      <c r="W2464" s="44"/>
      <c r="X2464" s="44"/>
      <c r="Y2464" s="44"/>
    </row>
    <row r="2465" spans="14:25" ht="15" customHeight="1" x14ac:dyDescent="0.25">
      <c r="N2465" s="44"/>
      <c r="O2465" s="44"/>
      <c r="P2465" s="44"/>
      <c r="Q2465" s="44"/>
      <c r="R2465" s="44"/>
      <c r="S2465" s="44"/>
      <c r="T2465" s="44"/>
      <c r="U2465" s="44"/>
      <c r="V2465" s="44"/>
      <c r="W2465" s="44"/>
      <c r="X2465" s="44"/>
      <c r="Y2465" s="44"/>
    </row>
    <row r="2466" spans="14:25" ht="15" customHeight="1" x14ac:dyDescent="0.25">
      <c r="N2466" s="44"/>
      <c r="O2466" s="44"/>
      <c r="P2466" s="44"/>
      <c r="Q2466" s="44"/>
      <c r="R2466" s="44"/>
      <c r="S2466" s="44"/>
      <c r="T2466" s="44"/>
      <c r="U2466" s="44"/>
      <c r="V2466" s="44"/>
      <c r="W2466" s="44"/>
      <c r="X2466" s="44"/>
      <c r="Y2466" s="44"/>
    </row>
    <row r="2467" spans="14:25" ht="15" customHeight="1" x14ac:dyDescent="0.25">
      <c r="N2467" s="44"/>
      <c r="O2467" s="44"/>
      <c r="P2467" s="44"/>
      <c r="Q2467" s="44"/>
      <c r="R2467" s="44"/>
      <c r="S2467" s="44"/>
      <c r="T2467" s="44"/>
      <c r="U2467" s="44"/>
      <c r="V2467" s="44"/>
      <c r="W2467" s="44"/>
      <c r="X2467" s="44"/>
      <c r="Y2467" s="44"/>
    </row>
    <row r="2468" spans="14:25" ht="15" customHeight="1" x14ac:dyDescent="0.25">
      <c r="N2468" s="44"/>
      <c r="O2468" s="44"/>
      <c r="P2468" s="44"/>
      <c r="Q2468" s="44"/>
      <c r="R2468" s="44"/>
      <c r="S2468" s="44"/>
      <c r="T2468" s="44"/>
      <c r="U2468" s="44"/>
      <c r="V2468" s="44"/>
      <c r="W2468" s="44"/>
      <c r="X2468" s="44"/>
      <c r="Y2468" s="44"/>
    </row>
    <row r="2469" spans="14:25" ht="15" customHeight="1" x14ac:dyDescent="0.25">
      <c r="N2469" s="44"/>
      <c r="O2469" s="44"/>
      <c r="P2469" s="44"/>
      <c r="Q2469" s="44"/>
      <c r="R2469" s="44"/>
      <c r="S2469" s="44"/>
      <c r="T2469" s="44"/>
      <c r="U2469" s="44"/>
      <c r="V2469" s="44"/>
      <c r="W2469" s="44"/>
      <c r="X2469" s="44"/>
      <c r="Y2469" s="44"/>
    </row>
    <row r="2470" spans="14:25" ht="15" customHeight="1" x14ac:dyDescent="0.25">
      <c r="N2470" s="44"/>
      <c r="O2470" s="44"/>
      <c r="P2470" s="44"/>
      <c r="Q2470" s="44"/>
      <c r="R2470" s="44"/>
      <c r="S2470" s="44"/>
      <c r="T2470" s="44"/>
      <c r="U2470" s="44"/>
      <c r="V2470" s="44"/>
      <c r="W2470" s="44"/>
      <c r="X2470" s="44"/>
      <c r="Y2470" s="44"/>
    </row>
    <row r="2471" spans="14:25" ht="15" customHeight="1" x14ac:dyDescent="0.25">
      <c r="N2471" s="44"/>
      <c r="O2471" s="44"/>
      <c r="P2471" s="44"/>
      <c r="Q2471" s="44"/>
      <c r="R2471" s="44"/>
      <c r="S2471" s="44"/>
      <c r="T2471" s="44"/>
      <c r="U2471" s="44"/>
      <c r="V2471" s="44"/>
      <c r="W2471" s="44"/>
      <c r="X2471" s="44"/>
      <c r="Y2471" s="44"/>
    </row>
    <row r="2472" spans="14:25" ht="15" customHeight="1" x14ac:dyDescent="0.25">
      <c r="N2472" s="44"/>
      <c r="O2472" s="44"/>
      <c r="P2472" s="44"/>
      <c r="Q2472" s="44"/>
      <c r="R2472" s="44"/>
      <c r="S2472" s="44"/>
      <c r="T2472" s="44"/>
      <c r="U2472" s="44"/>
      <c r="V2472" s="44"/>
      <c r="W2472" s="44"/>
      <c r="X2472" s="44"/>
      <c r="Y2472" s="44"/>
    </row>
    <row r="2473" spans="14:25" ht="15" customHeight="1" x14ac:dyDescent="0.25">
      <c r="N2473" s="44"/>
      <c r="O2473" s="44"/>
      <c r="P2473" s="44"/>
      <c r="Q2473" s="44"/>
      <c r="R2473" s="44"/>
      <c r="S2473" s="44"/>
      <c r="T2473" s="44"/>
      <c r="U2473" s="44"/>
      <c r="V2473" s="44"/>
      <c r="W2473" s="44"/>
      <c r="X2473" s="44"/>
      <c r="Y2473" s="44"/>
    </row>
    <row r="2474" spans="14:25" ht="15" customHeight="1" x14ac:dyDescent="0.25">
      <c r="N2474" s="44"/>
      <c r="O2474" s="44"/>
      <c r="P2474" s="44"/>
      <c r="Q2474" s="44"/>
      <c r="R2474" s="44"/>
      <c r="S2474" s="44"/>
      <c r="T2474" s="44"/>
      <c r="U2474" s="44"/>
      <c r="V2474" s="44"/>
      <c r="W2474" s="44"/>
      <c r="X2474" s="44"/>
      <c r="Y2474" s="44"/>
    </row>
    <row r="2475" spans="14:25" ht="15" customHeight="1" x14ac:dyDescent="0.25">
      <c r="N2475" s="44"/>
      <c r="O2475" s="44"/>
      <c r="P2475" s="44"/>
      <c r="Q2475" s="44"/>
      <c r="R2475" s="44"/>
      <c r="S2475" s="44"/>
      <c r="T2475" s="44"/>
      <c r="U2475" s="44"/>
      <c r="V2475" s="44"/>
      <c r="W2475" s="44"/>
      <c r="X2475" s="44"/>
      <c r="Y2475" s="44"/>
    </row>
    <row r="2476" spans="14:25" ht="15" customHeight="1" x14ac:dyDescent="0.25">
      <c r="N2476" s="44"/>
      <c r="O2476" s="44"/>
      <c r="P2476" s="44"/>
      <c r="Q2476" s="44"/>
      <c r="R2476" s="44"/>
      <c r="S2476" s="44"/>
      <c r="T2476" s="44"/>
      <c r="U2476" s="44"/>
      <c r="V2476" s="44"/>
      <c r="W2476" s="44"/>
      <c r="X2476" s="44"/>
      <c r="Y2476" s="44"/>
    </row>
    <row r="2477" spans="14:25" ht="15" customHeight="1" x14ac:dyDescent="0.25">
      <c r="N2477" s="44"/>
      <c r="O2477" s="44"/>
      <c r="P2477" s="44"/>
      <c r="Q2477" s="44"/>
      <c r="R2477" s="44"/>
      <c r="S2477" s="44"/>
      <c r="T2477" s="44"/>
      <c r="U2477" s="44"/>
      <c r="V2477" s="44"/>
      <c r="W2477" s="44"/>
      <c r="X2477" s="44"/>
      <c r="Y2477" s="44"/>
    </row>
    <row r="2478" spans="14:25" ht="15" customHeight="1" x14ac:dyDescent="0.25">
      <c r="N2478" s="44"/>
      <c r="O2478" s="44"/>
      <c r="P2478" s="44"/>
      <c r="Q2478" s="44"/>
      <c r="R2478" s="44"/>
      <c r="S2478" s="44"/>
      <c r="T2478" s="44"/>
      <c r="U2478" s="44"/>
      <c r="V2478" s="44"/>
      <c r="W2478" s="44"/>
      <c r="X2478" s="44"/>
      <c r="Y2478" s="44"/>
    </row>
    <row r="2479" spans="14:25" ht="15" customHeight="1" x14ac:dyDescent="0.25">
      <c r="N2479" s="44"/>
      <c r="O2479" s="44"/>
      <c r="P2479" s="44"/>
      <c r="Q2479" s="44"/>
      <c r="R2479" s="44"/>
      <c r="S2479" s="44"/>
      <c r="T2479" s="44"/>
      <c r="U2479" s="44"/>
      <c r="V2479" s="44"/>
      <c r="W2479" s="44"/>
      <c r="X2479" s="44"/>
      <c r="Y2479" s="44"/>
    </row>
    <row r="2480" spans="14:25" ht="15" customHeight="1" x14ac:dyDescent="0.25">
      <c r="N2480" s="44"/>
      <c r="O2480" s="44"/>
      <c r="P2480" s="44"/>
      <c r="Q2480" s="44"/>
      <c r="R2480" s="44"/>
      <c r="S2480" s="44"/>
      <c r="T2480" s="44"/>
      <c r="U2480" s="44"/>
      <c r="V2480" s="44"/>
      <c r="W2480" s="44"/>
      <c r="X2480" s="44"/>
      <c r="Y2480" s="44"/>
    </row>
    <row r="2481" spans="14:25" ht="15" customHeight="1" x14ac:dyDescent="0.25">
      <c r="N2481" s="44"/>
      <c r="O2481" s="44"/>
      <c r="P2481" s="44"/>
      <c r="Q2481" s="44"/>
      <c r="R2481" s="44"/>
      <c r="S2481" s="44"/>
      <c r="T2481" s="44"/>
      <c r="U2481" s="44"/>
      <c r="V2481" s="44"/>
      <c r="W2481" s="44"/>
      <c r="X2481" s="44"/>
      <c r="Y2481" s="44"/>
    </row>
    <row r="2482" spans="14:25" ht="15" customHeight="1" x14ac:dyDescent="0.25">
      <c r="N2482" s="44"/>
      <c r="O2482" s="44"/>
      <c r="P2482" s="44"/>
      <c r="Q2482" s="44"/>
      <c r="R2482" s="44"/>
      <c r="S2482" s="44"/>
      <c r="T2482" s="44"/>
      <c r="U2482" s="44"/>
      <c r="V2482" s="44"/>
      <c r="W2482" s="44"/>
      <c r="X2482" s="44"/>
      <c r="Y2482" s="44"/>
    </row>
    <row r="2483" spans="14:25" ht="15" customHeight="1" x14ac:dyDescent="0.25">
      <c r="N2483" s="44"/>
      <c r="O2483" s="44"/>
      <c r="P2483" s="44"/>
      <c r="Q2483" s="44"/>
      <c r="R2483" s="44"/>
      <c r="S2483" s="44"/>
      <c r="T2483" s="44"/>
      <c r="U2483" s="44"/>
      <c r="V2483" s="44"/>
      <c r="W2483" s="44"/>
      <c r="X2483" s="44"/>
      <c r="Y2483" s="44"/>
    </row>
    <row r="2484" spans="14:25" ht="15" customHeight="1" x14ac:dyDescent="0.25">
      <c r="N2484" s="44"/>
      <c r="O2484" s="44"/>
      <c r="P2484" s="44"/>
      <c r="Q2484" s="44"/>
      <c r="R2484" s="44"/>
      <c r="S2484" s="44"/>
      <c r="T2484" s="44"/>
      <c r="U2484" s="44"/>
      <c r="V2484" s="44"/>
      <c r="W2484" s="44"/>
      <c r="X2484" s="44"/>
      <c r="Y2484" s="44"/>
    </row>
    <row r="2485" spans="14:25" ht="15" customHeight="1" x14ac:dyDescent="0.25">
      <c r="N2485" s="44"/>
      <c r="O2485" s="44"/>
      <c r="P2485" s="44"/>
      <c r="Q2485" s="44"/>
      <c r="R2485" s="44"/>
      <c r="S2485" s="44"/>
      <c r="T2485" s="44"/>
      <c r="U2485" s="44"/>
      <c r="V2485" s="44"/>
      <c r="W2485" s="44"/>
      <c r="X2485" s="44"/>
      <c r="Y2485" s="44"/>
    </row>
    <row r="2486" spans="14:25" ht="15" customHeight="1" x14ac:dyDescent="0.25">
      <c r="N2486" s="44"/>
      <c r="O2486" s="44"/>
      <c r="P2486" s="44"/>
      <c r="Q2486" s="44"/>
      <c r="R2486" s="44"/>
      <c r="S2486" s="44"/>
      <c r="T2486" s="44"/>
      <c r="U2486" s="44"/>
      <c r="V2486" s="44"/>
      <c r="W2486" s="44"/>
      <c r="X2486" s="44"/>
      <c r="Y2486" s="44"/>
    </row>
    <row r="2487" spans="14:25" ht="15" customHeight="1" x14ac:dyDescent="0.25">
      <c r="N2487" s="44"/>
      <c r="O2487" s="44"/>
      <c r="P2487" s="44"/>
      <c r="Q2487" s="44"/>
      <c r="R2487" s="44"/>
      <c r="S2487" s="44"/>
      <c r="T2487" s="44"/>
      <c r="U2487" s="44"/>
      <c r="V2487" s="44"/>
      <c r="W2487" s="44"/>
      <c r="X2487" s="44"/>
      <c r="Y2487" s="44"/>
    </row>
    <row r="2488" spans="14:25" ht="15" customHeight="1" x14ac:dyDescent="0.25">
      <c r="N2488" s="44"/>
      <c r="O2488" s="44"/>
      <c r="P2488" s="44"/>
      <c r="Q2488" s="44"/>
      <c r="R2488" s="44"/>
      <c r="S2488" s="44"/>
      <c r="T2488" s="44"/>
      <c r="U2488" s="44"/>
      <c r="V2488" s="44"/>
      <c r="W2488" s="44"/>
      <c r="X2488" s="44"/>
      <c r="Y2488" s="44"/>
    </row>
    <row r="2489" spans="14:25" ht="15" customHeight="1" x14ac:dyDescent="0.25">
      <c r="N2489" s="44"/>
      <c r="O2489" s="44"/>
      <c r="P2489" s="44"/>
      <c r="Q2489" s="44"/>
      <c r="R2489" s="44"/>
      <c r="S2489" s="44"/>
      <c r="T2489" s="44"/>
      <c r="U2489" s="44"/>
      <c r="V2489" s="44"/>
      <c r="W2489" s="44"/>
      <c r="X2489" s="44"/>
      <c r="Y2489" s="44"/>
    </row>
    <row r="2490" spans="14:25" ht="15" customHeight="1" x14ac:dyDescent="0.25">
      <c r="N2490" s="44"/>
      <c r="O2490" s="44"/>
      <c r="P2490" s="44"/>
      <c r="Q2490" s="44"/>
      <c r="R2490" s="44"/>
      <c r="S2490" s="44"/>
      <c r="T2490" s="44"/>
      <c r="U2490" s="44"/>
      <c r="V2490" s="44"/>
      <c r="W2490" s="44"/>
      <c r="X2490" s="44"/>
      <c r="Y2490" s="44"/>
    </row>
    <row r="2491" spans="14:25" ht="15" customHeight="1" x14ac:dyDescent="0.25">
      <c r="N2491" s="44"/>
      <c r="O2491" s="44"/>
      <c r="P2491" s="44"/>
      <c r="Q2491" s="44"/>
      <c r="R2491" s="44"/>
      <c r="S2491" s="44"/>
      <c r="T2491" s="44"/>
      <c r="U2491" s="44"/>
      <c r="V2491" s="44"/>
      <c r="W2491" s="44"/>
      <c r="X2491" s="44"/>
      <c r="Y2491" s="44"/>
    </row>
    <row r="2492" spans="14:25" ht="15" customHeight="1" x14ac:dyDescent="0.25">
      <c r="N2492" s="44"/>
      <c r="O2492" s="44"/>
      <c r="P2492" s="44"/>
      <c r="Q2492" s="44"/>
      <c r="R2492" s="44"/>
      <c r="S2492" s="44"/>
      <c r="T2492" s="44"/>
      <c r="U2492" s="44"/>
      <c r="V2492" s="44"/>
      <c r="W2492" s="44"/>
      <c r="X2492" s="44"/>
      <c r="Y2492" s="44"/>
    </row>
    <row r="2493" spans="14:25" ht="15" customHeight="1" x14ac:dyDescent="0.25">
      <c r="N2493" s="44"/>
      <c r="O2493" s="44"/>
      <c r="P2493" s="44"/>
      <c r="Q2493" s="44"/>
      <c r="R2493" s="44"/>
      <c r="S2493" s="44"/>
      <c r="T2493" s="44"/>
      <c r="U2493" s="44"/>
      <c r="V2493" s="44"/>
      <c r="W2493" s="44"/>
      <c r="X2493" s="44"/>
      <c r="Y2493" s="44"/>
    </row>
    <row r="2494" spans="14:25" ht="15" customHeight="1" x14ac:dyDescent="0.25">
      <c r="N2494" s="44"/>
      <c r="O2494" s="44"/>
      <c r="P2494" s="44"/>
      <c r="Q2494" s="44"/>
      <c r="R2494" s="44"/>
      <c r="S2494" s="44"/>
      <c r="T2494" s="44"/>
      <c r="U2494" s="44"/>
      <c r="V2494" s="44"/>
      <c r="W2494" s="44"/>
      <c r="X2494" s="44"/>
      <c r="Y2494" s="44"/>
    </row>
    <row r="2495" spans="14:25" ht="15" customHeight="1" x14ac:dyDescent="0.25">
      <c r="N2495" s="44"/>
      <c r="O2495" s="44"/>
      <c r="P2495" s="44"/>
      <c r="Q2495" s="44"/>
      <c r="R2495" s="44"/>
      <c r="S2495" s="44"/>
      <c r="T2495" s="44"/>
      <c r="U2495" s="44"/>
      <c r="V2495" s="44"/>
      <c r="W2495" s="44"/>
      <c r="X2495" s="44"/>
      <c r="Y2495" s="44"/>
    </row>
    <row r="2496" spans="14:25" ht="15" customHeight="1" x14ac:dyDescent="0.25">
      <c r="N2496" s="44"/>
      <c r="O2496" s="44"/>
      <c r="P2496" s="44"/>
      <c r="Q2496" s="44"/>
      <c r="R2496" s="44"/>
      <c r="S2496" s="44"/>
      <c r="T2496" s="44"/>
      <c r="U2496" s="44"/>
      <c r="V2496" s="44"/>
      <c r="W2496" s="44"/>
      <c r="X2496" s="44"/>
      <c r="Y2496" s="44"/>
    </row>
    <row r="2497" spans="14:25" ht="15" customHeight="1" x14ac:dyDescent="0.25">
      <c r="N2497" s="44"/>
      <c r="O2497" s="44"/>
      <c r="P2497" s="44"/>
      <c r="Q2497" s="44"/>
      <c r="R2497" s="44"/>
      <c r="S2497" s="44"/>
      <c r="T2497" s="44"/>
      <c r="U2497" s="44"/>
      <c r="V2497" s="44"/>
      <c r="W2497" s="44"/>
      <c r="X2497" s="44"/>
      <c r="Y2497" s="44"/>
    </row>
    <row r="2498" spans="14:25" ht="15" customHeight="1" x14ac:dyDescent="0.25">
      <c r="N2498" s="44"/>
      <c r="O2498" s="44"/>
      <c r="P2498" s="44"/>
      <c r="Q2498" s="44"/>
      <c r="R2498" s="44"/>
      <c r="S2498" s="44"/>
      <c r="T2498" s="44"/>
      <c r="U2498" s="44"/>
      <c r="V2498" s="44"/>
      <c r="W2498" s="44"/>
      <c r="X2498" s="44"/>
      <c r="Y2498" s="44"/>
    </row>
    <row r="2499" spans="14:25" ht="15" customHeight="1" x14ac:dyDescent="0.25">
      <c r="N2499" s="44"/>
      <c r="O2499" s="44"/>
      <c r="P2499" s="44"/>
      <c r="Q2499" s="44"/>
      <c r="R2499" s="44"/>
      <c r="S2499" s="44"/>
      <c r="T2499" s="44"/>
      <c r="U2499" s="44"/>
      <c r="V2499" s="44"/>
      <c r="W2499" s="44"/>
      <c r="X2499" s="44"/>
      <c r="Y2499" s="44"/>
    </row>
    <row r="2500" spans="14:25" ht="15" customHeight="1" x14ac:dyDescent="0.25">
      <c r="N2500" s="44"/>
      <c r="O2500" s="44"/>
      <c r="P2500" s="44"/>
      <c r="Q2500" s="44"/>
      <c r="R2500" s="44"/>
      <c r="S2500" s="44"/>
      <c r="T2500" s="44"/>
      <c r="U2500" s="44"/>
      <c r="V2500" s="44"/>
      <c r="W2500" s="44"/>
      <c r="X2500" s="44"/>
      <c r="Y2500" s="44"/>
    </row>
    <row r="2501" spans="14:25" ht="15" customHeight="1" x14ac:dyDescent="0.25">
      <c r="N2501" s="44"/>
      <c r="O2501" s="44"/>
      <c r="P2501" s="44"/>
      <c r="Q2501" s="44"/>
      <c r="R2501" s="44"/>
      <c r="S2501" s="44"/>
      <c r="T2501" s="44"/>
      <c r="U2501" s="44"/>
      <c r="V2501" s="44"/>
      <c r="W2501" s="44"/>
      <c r="X2501" s="44"/>
      <c r="Y2501" s="44"/>
    </row>
    <row r="2502" spans="14:25" ht="15" customHeight="1" x14ac:dyDescent="0.25">
      <c r="N2502" s="44"/>
      <c r="O2502" s="44"/>
      <c r="P2502" s="44"/>
      <c r="Q2502" s="44"/>
      <c r="R2502" s="44"/>
      <c r="S2502" s="44"/>
      <c r="T2502" s="44"/>
      <c r="U2502" s="44"/>
      <c r="V2502" s="44"/>
      <c r="W2502" s="44"/>
      <c r="X2502" s="44"/>
      <c r="Y2502" s="44"/>
    </row>
    <row r="2503" spans="14:25" ht="15" customHeight="1" x14ac:dyDescent="0.25">
      <c r="N2503" s="44"/>
      <c r="O2503" s="44"/>
      <c r="P2503" s="44"/>
      <c r="Q2503" s="44"/>
      <c r="R2503" s="44"/>
      <c r="S2503" s="44"/>
      <c r="T2503" s="44"/>
      <c r="U2503" s="44"/>
      <c r="V2503" s="44"/>
      <c r="W2503" s="44"/>
      <c r="X2503" s="44"/>
      <c r="Y2503" s="44"/>
    </row>
    <row r="2504" spans="14:25" ht="15" customHeight="1" x14ac:dyDescent="0.25">
      <c r="N2504" s="44"/>
      <c r="O2504" s="44"/>
      <c r="P2504" s="44"/>
      <c r="Q2504" s="44"/>
      <c r="R2504" s="44"/>
      <c r="S2504" s="44"/>
      <c r="T2504" s="44"/>
      <c r="U2504" s="44"/>
      <c r="V2504" s="44"/>
      <c r="W2504" s="44"/>
      <c r="X2504" s="44"/>
      <c r="Y2504" s="44"/>
    </row>
    <row r="2505" spans="14:25" ht="15" customHeight="1" x14ac:dyDescent="0.25">
      <c r="N2505" s="44"/>
      <c r="O2505" s="44"/>
      <c r="P2505" s="44"/>
      <c r="Q2505" s="44"/>
      <c r="R2505" s="44"/>
      <c r="S2505" s="44"/>
      <c r="T2505" s="44"/>
      <c r="U2505" s="44"/>
      <c r="V2505" s="44"/>
      <c r="W2505" s="44"/>
      <c r="X2505" s="44"/>
      <c r="Y2505" s="44"/>
    </row>
    <row r="2506" spans="14:25" ht="15" customHeight="1" x14ac:dyDescent="0.25">
      <c r="N2506" s="44"/>
      <c r="O2506" s="44"/>
      <c r="P2506" s="44"/>
      <c r="Q2506" s="44"/>
      <c r="R2506" s="44"/>
      <c r="S2506" s="44"/>
      <c r="T2506" s="44"/>
      <c r="U2506" s="44"/>
      <c r="V2506" s="44"/>
      <c r="W2506" s="44"/>
      <c r="X2506" s="44"/>
      <c r="Y2506" s="44"/>
    </row>
    <row r="2507" spans="14:25" ht="15" customHeight="1" x14ac:dyDescent="0.25">
      <c r="N2507" s="44"/>
      <c r="O2507" s="44"/>
      <c r="P2507" s="44"/>
      <c r="Q2507" s="44"/>
      <c r="R2507" s="44"/>
      <c r="S2507" s="44"/>
      <c r="T2507" s="44"/>
      <c r="U2507" s="44"/>
      <c r="V2507" s="44"/>
      <c r="W2507" s="44"/>
      <c r="X2507" s="44"/>
      <c r="Y2507" s="44"/>
    </row>
    <row r="2508" spans="14:25" ht="15" customHeight="1" x14ac:dyDescent="0.25">
      <c r="N2508" s="44"/>
      <c r="O2508" s="44"/>
      <c r="P2508" s="44"/>
      <c r="Q2508" s="44"/>
      <c r="R2508" s="44"/>
      <c r="S2508" s="44"/>
      <c r="T2508" s="44"/>
      <c r="U2508" s="44"/>
      <c r="V2508" s="44"/>
      <c r="W2508" s="44"/>
      <c r="X2508" s="44"/>
      <c r="Y2508" s="44"/>
    </row>
    <row r="2509" spans="14:25" ht="15" customHeight="1" x14ac:dyDescent="0.25">
      <c r="N2509" s="44"/>
      <c r="O2509" s="44"/>
      <c r="P2509" s="44"/>
      <c r="Q2509" s="44"/>
      <c r="R2509" s="44"/>
      <c r="S2509" s="44"/>
      <c r="T2509" s="44"/>
      <c r="U2509" s="44"/>
      <c r="V2509" s="44"/>
      <c r="W2509" s="44"/>
      <c r="X2509" s="44"/>
      <c r="Y2509" s="44"/>
    </row>
    <row r="2510" spans="14:25" ht="15" customHeight="1" x14ac:dyDescent="0.25">
      <c r="N2510" s="44"/>
      <c r="O2510" s="44"/>
      <c r="P2510" s="44"/>
      <c r="Q2510" s="44"/>
      <c r="R2510" s="44"/>
      <c r="S2510" s="44"/>
      <c r="T2510" s="44"/>
      <c r="U2510" s="44"/>
      <c r="V2510" s="44"/>
      <c r="W2510" s="44"/>
      <c r="X2510" s="44"/>
      <c r="Y2510" s="44"/>
    </row>
    <row r="2511" spans="14:25" ht="15" customHeight="1" x14ac:dyDescent="0.25">
      <c r="N2511" s="44"/>
      <c r="O2511" s="44"/>
      <c r="P2511" s="44"/>
      <c r="Q2511" s="44"/>
      <c r="R2511" s="44"/>
      <c r="S2511" s="44"/>
      <c r="T2511" s="44"/>
      <c r="U2511" s="44"/>
      <c r="V2511" s="44"/>
      <c r="W2511" s="44"/>
      <c r="X2511" s="44"/>
      <c r="Y2511" s="44"/>
    </row>
    <row r="2512" spans="14:25" ht="15" customHeight="1" x14ac:dyDescent="0.25">
      <c r="N2512" s="44"/>
      <c r="O2512" s="44"/>
      <c r="P2512" s="44"/>
      <c r="Q2512" s="44"/>
      <c r="R2512" s="44"/>
      <c r="S2512" s="44"/>
      <c r="T2512" s="44"/>
      <c r="U2512" s="44"/>
      <c r="V2512" s="44"/>
      <c r="W2512" s="44"/>
      <c r="X2512" s="44"/>
      <c r="Y2512" s="44"/>
    </row>
    <row r="2513" spans="14:25" ht="15" customHeight="1" x14ac:dyDescent="0.25">
      <c r="N2513" s="44"/>
      <c r="O2513" s="44"/>
      <c r="P2513" s="44"/>
      <c r="Q2513" s="44"/>
      <c r="R2513" s="44"/>
      <c r="S2513" s="44"/>
      <c r="T2513" s="44"/>
      <c r="U2513" s="44"/>
      <c r="V2513" s="44"/>
      <c r="W2513" s="44"/>
      <c r="X2513" s="44"/>
      <c r="Y2513" s="44"/>
    </row>
    <row r="2514" spans="14:25" ht="15" customHeight="1" x14ac:dyDescent="0.25">
      <c r="N2514" s="44"/>
      <c r="O2514" s="44"/>
      <c r="P2514" s="44"/>
      <c r="Q2514" s="44"/>
      <c r="R2514" s="44"/>
      <c r="S2514" s="44"/>
      <c r="T2514" s="44"/>
      <c r="U2514" s="44"/>
      <c r="V2514" s="44"/>
      <c r="W2514" s="44"/>
      <c r="X2514" s="44"/>
      <c r="Y2514" s="44"/>
    </row>
    <row r="2515" spans="14:25" ht="15" customHeight="1" x14ac:dyDescent="0.25">
      <c r="N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44"/>
      <c r="Y2515" s="44"/>
    </row>
    <row r="2516" spans="14:25" ht="15" customHeight="1" x14ac:dyDescent="0.25">
      <c r="N2516" s="44"/>
      <c r="O2516" s="44"/>
      <c r="P2516" s="44"/>
      <c r="Q2516" s="44"/>
      <c r="R2516" s="44"/>
      <c r="S2516" s="44"/>
      <c r="T2516" s="44"/>
      <c r="U2516" s="44"/>
      <c r="V2516" s="44"/>
      <c r="W2516" s="44"/>
      <c r="X2516" s="44"/>
      <c r="Y2516" s="44"/>
    </row>
    <row r="2517" spans="14:25" ht="15" customHeight="1" x14ac:dyDescent="0.25"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44"/>
      <c r="Y2517" s="44"/>
    </row>
    <row r="2518" spans="14:25" ht="15" customHeight="1" x14ac:dyDescent="0.25"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44"/>
    </row>
    <row r="2519" spans="14:25" ht="15" customHeight="1" x14ac:dyDescent="0.25">
      <c r="N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44"/>
      <c r="Y2519" s="44"/>
    </row>
    <row r="2520" spans="14:25" ht="15" customHeight="1" x14ac:dyDescent="0.25">
      <c r="N2520" s="44"/>
      <c r="O2520" s="44"/>
      <c r="P2520" s="44"/>
      <c r="Q2520" s="44"/>
      <c r="R2520" s="44"/>
      <c r="S2520" s="44"/>
      <c r="T2520" s="44"/>
      <c r="U2520" s="44"/>
      <c r="V2520" s="44"/>
      <c r="W2520" s="44"/>
      <c r="X2520" s="44"/>
      <c r="Y2520" s="44"/>
    </row>
    <row r="2521" spans="14:25" ht="15" customHeight="1" x14ac:dyDescent="0.25">
      <c r="N2521" s="44"/>
      <c r="O2521" s="44"/>
      <c r="P2521" s="44"/>
      <c r="Q2521" s="44"/>
      <c r="R2521" s="44"/>
      <c r="S2521" s="44"/>
      <c r="T2521" s="44"/>
      <c r="U2521" s="44"/>
      <c r="V2521" s="44"/>
      <c r="W2521" s="44"/>
      <c r="X2521" s="44"/>
      <c r="Y2521" s="44"/>
    </row>
    <row r="2522" spans="14:25" ht="15" customHeight="1" x14ac:dyDescent="0.25">
      <c r="N2522" s="44"/>
      <c r="O2522" s="44"/>
      <c r="P2522" s="44"/>
      <c r="Q2522" s="44"/>
      <c r="R2522" s="44"/>
      <c r="S2522" s="44"/>
      <c r="T2522" s="44"/>
      <c r="U2522" s="44"/>
      <c r="V2522" s="44"/>
      <c r="W2522" s="44"/>
      <c r="X2522" s="44"/>
      <c r="Y2522" s="44"/>
    </row>
    <row r="2523" spans="14:25" ht="15" customHeight="1" x14ac:dyDescent="0.25">
      <c r="N2523" s="44"/>
      <c r="O2523" s="44"/>
      <c r="P2523" s="44"/>
      <c r="Q2523" s="44"/>
      <c r="R2523" s="44"/>
      <c r="S2523" s="44"/>
      <c r="T2523" s="44"/>
      <c r="U2523" s="44"/>
      <c r="V2523" s="44"/>
      <c r="W2523" s="44"/>
      <c r="X2523" s="44"/>
      <c r="Y2523" s="44"/>
    </row>
    <row r="2524" spans="14:25" ht="15" customHeight="1" x14ac:dyDescent="0.25">
      <c r="N2524" s="44"/>
      <c r="O2524" s="44"/>
      <c r="P2524" s="44"/>
      <c r="Q2524" s="44"/>
      <c r="R2524" s="44"/>
      <c r="S2524" s="44"/>
      <c r="T2524" s="44"/>
      <c r="U2524" s="44"/>
      <c r="V2524" s="44"/>
      <c r="W2524" s="44"/>
      <c r="X2524" s="44"/>
      <c r="Y2524" s="44"/>
    </row>
    <row r="2525" spans="14:25" ht="15" customHeight="1" x14ac:dyDescent="0.25">
      <c r="N2525" s="44"/>
      <c r="O2525" s="44"/>
      <c r="P2525" s="44"/>
      <c r="Q2525" s="44"/>
      <c r="R2525" s="44"/>
      <c r="S2525" s="44"/>
      <c r="T2525" s="44"/>
      <c r="U2525" s="44"/>
      <c r="V2525" s="44"/>
      <c r="W2525" s="44"/>
      <c r="X2525" s="44"/>
      <c r="Y2525" s="44"/>
    </row>
    <row r="2526" spans="14:25" ht="15" customHeight="1" x14ac:dyDescent="0.25">
      <c r="N2526" s="44"/>
      <c r="O2526" s="44"/>
      <c r="P2526" s="44"/>
      <c r="Q2526" s="44"/>
      <c r="R2526" s="44"/>
      <c r="S2526" s="44"/>
      <c r="T2526" s="44"/>
      <c r="U2526" s="44"/>
      <c r="V2526" s="44"/>
      <c r="W2526" s="44"/>
      <c r="X2526" s="44"/>
      <c r="Y2526" s="44"/>
    </row>
    <row r="2527" spans="14:25" ht="15" customHeight="1" x14ac:dyDescent="0.25">
      <c r="N2527" s="44"/>
      <c r="O2527" s="44"/>
      <c r="P2527" s="44"/>
      <c r="Q2527" s="44"/>
      <c r="R2527" s="44"/>
      <c r="S2527" s="44"/>
      <c r="T2527" s="44"/>
      <c r="U2527" s="44"/>
      <c r="V2527" s="44"/>
      <c r="W2527" s="44"/>
      <c r="X2527" s="44"/>
      <c r="Y2527" s="44"/>
    </row>
    <row r="2528" spans="14:25" ht="15" customHeight="1" x14ac:dyDescent="0.25">
      <c r="N2528" s="44"/>
      <c r="O2528" s="44"/>
      <c r="P2528" s="44"/>
      <c r="Q2528" s="44"/>
      <c r="R2528" s="44"/>
      <c r="S2528" s="44"/>
      <c r="T2528" s="44"/>
      <c r="U2528" s="44"/>
      <c r="V2528" s="44"/>
      <c r="W2528" s="44"/>
      <c r="X2528" s="44"/>
      <c r="Y2528" s="44"/>
    </row>
    <row r="2529" spans="14:25" ht="15" customHeight="1" x14ac:dyDescent="0.25">
      <c r="N2529" s="44"/>
      <c r="O2529" s="44"/>
      <c r="P2529" s="44"/>
      <c r="Q2529" s="44"/>
      <c r="R2529" s="44"/>
      <c r="S2529" s="44"/>
      <c r="T2529" s="44"/>
      <c r="U2529" s="44"/>
      <c r="V2529" s="44"/>
      <c r="W2529" s="44"/>
      <c r="X2529" s="44"/>
      <c r="Y2529" s="44"/>
    </row>
    <row r="2530" spans="14:25" ht="15" customHeight="1" x14ac:dyDescent="0.25">
      <c r="N2530" s="44"/>
      <c r="O2530" s="44"/>
      <c r="P2530" s="44"/>
      <c r="Q2530" s="44"/>
      <c r="R2530" s="44"/>
      <c r="S2530" s="44"/>
      <c r="T2530" s="44"/>
      <c r="U2530" s="44"/>
      <c r="V2530" s="44"/>
      <c r="W2530" s="44"/>
      <c r="X2530" s="44"/>
      <c r="Y2530" s="44"/>
    </row>
    <row r="2531" spans="14:25" ht="15" customHeight="1" x14ac:dyDescent="0.25">
      <c r="N2531" s="44"/>
      <c r="O2531" s="44"/>
      <c r="P2531" s="44"/>
      <c r="Q2531" s="44"/>
      <c r="R2531" s="44"/>
      <c r="S2531" s="44"/>
      <c r="T2531" s="44"/>
      <c r="U2531" s="44"/>
      <c r="V2531" s="44"/>
      <c r="W2531" s="44"/>
      <c r="X2531" s="44"/>
      <c r="Y2531" s="44"/>
    </row>
    <row r="2532" spans="14:25" ht="15" customHeight="1" x14ac:dyDescent="0.25">
      <c r="N2532" s="44"/>
      <c r="O2532" s="44"/>
      <c r="P2532" s="44"/>
      <c r="Q2532" s="44"/>
      <c r="R2532" s="44"/>
      <c r="S2532" s="44"/>
      <c r="T2532" s="44"/>
      <c r="U2532" s="44"/>
      <c r="V2532" s="44"/>
      <c r="W2532" s="44"/>
      <c r="X2532" s="44"/>
      <c r="Y2532" s="44"/>
    </row>
    <row r="2533" spans="14:25" ht="15" customHeight="1" x14ac:dyDescent="0.25">
      <c r="N2533" s="44"/>
      <c r="O2533" s="44"/>
      <c r="P2533" s="44"/>
      <c r="Q2533" s="44"/>
      <c r="R2533" s="44"/>
      <c r="S2533" s="44"/>
      <c r="T2533" s="44"/>
      <c r="U2533" s="44"/>
      <c r="V2533" s="44"/>
      <c r="W2533" s="44"/>
      <c r="X2533" s="44"/>
      <c r="Y2533" s="44"/>
    </row>
    <row r="2534" spans="14:25" ht="15" customHeight="1" x14ac:dyDescent="0.25">
      <c r="N2534" s="44"/>
      <c r="O2534" s="44"/>
      <c r="P2534" s="44"/>
      <c r="Q2534" s="44"/>
      <c r="R2534" s="44"/>
      <c r="S2534" s="44"/>
      <c r="T2534" s="44"/>
      <c r="U2534" s="44"/>
      <c r="V2534" s="44"/>
      <c r="W2534" s="44"/>
      <c r="X2534" s="44"/>
      <c r="Y2534" s="44"/>
    </row>
    <row r="2535" spans="14:25" ht="15" customHeight="1" x14ac:dyDescent="0.25">
      <c r="N2535" s="44"/>
      <c r="O2535" s="44"/>
      <c r="P2535" s="44"/>
      <c r="Q2535" s="44"/>
      <c r="R2535" s="44"/>
      <c r="S2535" s="44"/>
      <c r="T2535" s="44"/>
      <c r="U2535" s="44"/>
      <c r="V2535" s="44"/>
      <c r="W2535" s="44"/>
      <c r="X2535" s="44"/>
      <c r="Y2535" s="44"/>
    </row>
    <row r="2536" spans="14:25" ht="15" customHeight="1" x14ac:dyDescent="0.25">
      <c r="N2536" s="44"/>
      <c r="O2536" s="44"/>
      <c r="P2536" s="44"/>
      <c r="Q2536" s="44"/>
      <c r="R2536" s="44"/>
      <c r="S2536" s="44"/>
      <c r="T2536" s="44"/>
      <c r="U2536" s="44"/>
      <c r="V2536" s="44"/>
      <c r="W2536" s="44"/>
      <c r="X2536" s="44"/>
      <c r="Y2536" s="44"/>
    </row>
    <row r="2537" spans="14:25" ht="15" customHeight="1" x14ac:dyDescent="0.25">
      <c r="N2537" s="44"/>
      <c r="O2537" s="44"/>
      <c r="P2537" s="44"/>
      <c r="Q2537" s="44"/>
      <c r="R2537" s="44"/>
      <c r="S2537" s="44"/>
      <c r="T2537" s="44"/>
      <c r="U2537" s="44"/>
      <c r="V2537" s="44"/>
      <c r="W2537" s="44"/>
      <c r="X2537" s="44"/>
      <c r="Y2537" s="44"/>
    </row>
    <row r="2538" spans="14:25" ht="15" customHeight="1" x14ac:dyDescent="0.25">
      <c r="N2538" s="44"/>
      <c r="O2538" s="44"/>
      <c r="P2538" s="44"/>
      <c r="Q2538" s="44"/>
      <c r="R2538" s="44"/>
      <c r="S2538" s="44"/>
      <c r="T2538" s="44"/>
      <c r="U2538" s="44"/>
      <c r="V2538" s="44"/>
      <c r="W2538" s="44"/>
      <c r="X2538" s="44"/>
      <c r="Y2538" s="44"/>
    </row>
    <row r="2539" spans="14:25" ht="15" customHeight="1" x14ac:dyDescent="0.25">
      <c r="N2539" s="44"/>
      <c r="O2539" s="44"/>
      <c r="P2539" s="44"/>
      <c r="Q2539" s="44"/>
      <c r="R2539" s="44"/>
      <c r="S2539" s="44"/>
      <c r="T2539" s="44"/>
      <c r="U2539" s="44"/>
      <c r="V2539" s="44"/>
      <c r="W2539" s="44"/>
      <c r="X2539" s="44"/>
      <c r="Y2539" s="44"/>
    </row>
    <row r="2540" spans="14:25" ht="15" customHeight="1" x14ac:dyDescent="0.25">
      <c r="N2540" s="44"/>
      <c r="O2540" s="44"/>
      <c r="P2540" s="44"/>
      <c r="Q2540" s="44"/>
      <c r="R2540" s="44"/>
      <c r="S2540" s="44"/>
      <c r="T2540" s="44"/>
      <c r="U2540" s="44"/>
      <c r="V2540" s="44"/>
      <c r="W2540" s="44"/>
      <c r="X2540" s="44"/>
      <c r="Y2540" s="44"/>
    </row>
    <row r="2541" spans="14:25" ht="15" customHeight="1" x14ac:dyDescent="0.25">
      <c r="N2541" s="44"/>
      <c r="O2541" s="44"/>
      <c r="P2541" s="44"/>
      <c r="Q2541" s="44"/>
      <c r="R2541" s="44"/>
      <c r="S2541" s="44"/>
      <c r="T2541" s="44"/>
      <c r="U2541" s="44"/>
      <c r="V2541" s="44"/>
      <c r="W2541" s="44"/>
      <c r="X2541" s="44"/>
      <c r="Y2541" s="44"/>
    </row>
    <row r="2542" spans="14:25" ht="15" customHeight="1" x14ac:dyDescent="0.25">
      <c r="N2542" s="44"/>
      <c r="O2542" s="44"/>
      <c r="P2542" s="44"/>
      <c r="Q2542" s="44"/>
      <c r="R2542" s="44"/>
      <c r="S2542" s="44"/>
      <c r="T2542" s="44"/>
      <c r="U2542" s="44"/>
      <c r="V2542" s="44"/>
      <c r="W2542" s="44"/>
      <c r="X2542" s="44"/>
      <c r="Y2542" s="44"/>
    </row>
    <row r="2543" spans="14:25" ht="15" customHeight="1" x14ac:dyDescent="0.25">
      <c r="N2543" s="44"/>
      <c r="O2543" s="44"/>
      <c r="P2543" s="44"/>
      <c r="Q2543" s="44"/>
      <c r="R2543" s="44"/>
      <c r="S2543" s="44"/>
      <c r="T2543" s="44"/>
      <c r="U2543" s="44"/>
      <c r="V2543" s="44"/>
      <c r="W2543" s="44"/>
      <c r="X2543" s="44"/>
      <c r="Y2543" s="44"/>
    </row>
    <row r="2544" spans="14:25" ht="15" customHeight="1" x14ac:dyDescent="0.25">
      <c r="N2544" s="44"/>
      <c r="O2544" s="44"/>
      <c r="P2544" s="44"/>
      <c r="Q2544" s="44"/>
      <c r="R2544" s="44"/>
      <c r="S2544" s="44"/>
      <c r="T2544" s="44"/>
      <c r="U2544" s="44"/>
      <c r="V2544" s="44"/>
      <c r="W2544" s="44"/>
      <c r="X2544" s="44"/>
      <c r="Y2544" s="44"/>
    </row>
    <row r="2545" spans="14:25" ht="15" customHeight="1" x14ac:dyDescent="0.25">
      <c r="N2545" s="44"/>
      <c r="O2545" s="44"/>
      <c r="P2545" s="44"/>
      <c r="Q2545" s="44"/>
      <c r="R2545" s="44"/>
      <c r="S2545" s="44"/>
      <c r="T2545" s="44"/>
      <c r="U2545" s="44"/>
      <c r="V2545" s="44"/>
      <c r="W2545" s="44"/>
      <c r="X2545" s="44"/>
      <c r="Y2545" s="44"/>
    </row>
    <row r="2546" spans="14:25" ht="15" customHeight="1" x14ac:dyDescent="0.25">
      <c r="N2546" s="44"/>
      <c r="O2546" s="44"/>
      <c r="P2546" s="44"/>
      <c r="Q2546" s="44"/>
      <c r="R2546" s="44"/>
      <c r="S2546" s="44"/>
      <c r="T2546" s="44"/>
      <c r="U2546" s="44"/>
      <c r="V2546" s="44"/>
      <c r="W2546" s="44"/>
      <c r="X2546" s="44"/>
      <c r="Y2546" s="44"/>
    </row>
    <row r="2547" spans="14:25" ht="15" customHeight="1" x14ac:dyDescent="0.25">
      <c r="N2547" s="44"/>
      <c r="O2547" s="44"/>
      <c r="P2547" s="44"/>
      <c r="Q2547" s="44"/>
      <c r="R2547" s="44"/>
      <c r="S2547" s="44"/>
      <c r="T2547" s="44"/>
      <c r="U2547" s="44"/>
      <c r="V2547" s="44"/>
      <c r="W2547" s="44"/>
      <c r="X2547" s="44"/>
      <c r="Y2547" s="44"/>
    </row>
    <row r="2548" spans="14:25" ht="15" customHeight="1" x14ac:dyDescent="0.25">
      <c r="N2548" s="44"/>
      <c r="O2548" s="44"/>
      <c r="P2548" s="44"/>
      <c r="Q2548" s="44"/>
      <c r="R2548" s="44"/>
      <c r="S2548" s="44"/>
      <c r="T2548" s="44"/>
      <c r="U2548" s="44"/>
      <c r="V2548" s="44"/>
      <c r="W2548" s="44"/>
      <c r="X2548" s="44"/>
      <c r="Y2548" s="44"/>
    </row>
    <row r="2549" spans="14:25" ht="15" customHeight="1" x14ac:dyDescent="0.25">
      <c r="N2549" s="44"/>
      <c r="O2549" s="44"/>
      <c r="P2549" s="44"/>
      <c r="Q2549" s="44"/>
      <c r="R2549" s="44"/>
      <c r="S2549" s="44"/>
      <c r="T2549" s="44"/>
      <c r="U2549" s="44"/>
      <c r="V2549" s="44"/>
      <c r="W2549" s="44"/>
      <c r="X2549" s="44"/>
      <c r="Y2549" s="44"/>
    </row>
    <row r="2550" spans="14:25" ht="15" customHeight="1" x14ac:dyDescent="0.25">
      <c r="N2550" s="44"/>
      <c r="O2550" s="44"/>
      <c r="P2550" s="44"/>
      <c r="Q2550" s="44"/>
      <c r="R2550" s="44"/>
      <c r="S2550" s="44"/>
      <c r="T2550" s="44"/>
      <c r="U2550" s="44"/>
      <c r="V2550" s="44"/>
      <c r="W2550" s="44"/>
      <c r="X2550" s="44"/>
      <c r="Y2550" s="44"/>
    </row>
    <row r="2551" spans="14:25" ht="15" customHeight="1" x14ac:dyDescent="0.25">
      <c r="N2551" s="44"/>
      <c r="O2551" s="44"/>
      <c r="P2551" s="44"/>
      <c r="Q2551" s="44"/>
      <c r="R2551" s="44"/>
      <c r="S2551" s="44"/>
      <c r="T2551" s="44"/>
      <c r="U2551" s="44"/>
      <c r="V2551" s="44"/>
      <c r="W2551" s="44"/>
      <c r="X2551" s="44"/>
      <c r="Y2551" s="44"/>
    </row>
    <row r="2552" spans="14:25" ht="15" customHeight="1" x14ac:dyDescent="0.25">
      <c r="N2552" s="44"/>
      <c r="O2552" s="44"/>
      <c r="P2552" s="44"/>
      <c r="Q2552" s="44"/>
      <c r="R2552" s="44"/>
      <c r="S2552" s="44"/>
      <c r="T2552" s="44"/>
      <c r="U2552" s="44"/>
      <c r="V2552" s="44"/>
      <c r="W2552" s="44"/>
      <c r="X2552" s="44"/>
      <c r="Y2552" s="44"/>
    </row>
    <row r="2553" spans="14:25" ht="15" customHeight="1" x14ac:dyDescent="0.25">
      <c r="N2553" s="44"/>
      <c r="O2553" s="44"/>
      <c r="P2553" s="44"/>
      <c r="Q2553" s="44"/>
      <c r="R2553" s="44"/>
      <c r="S2553" s="44"/>
      <c r="T2553" s="44"/>
      <c r="U2553" s="44"/>
      <c r="V2553" s="44"/>
      <c r="W2553" s="44"/>
      <c r="X2553" s="44"/>
      <c r="Y2553" s="44"/>
    </row>
    <row r="2554" spans="14:25" ht="15" customHeight="1" x14ac:dyDescent="0.25">
      <c r="N2554" s="44"/>
      <c r="O2554" s="44"/>
      <c r="P2554" s="44"/>
      <c r="Q2554" s="44"/>
      <c r="R2554" s="44"/>
      <c r="S2554" s="44"/>
      <c r="T2554" s="44"/>
      <c r="U2554" s="44"/>
      <c r="V2554" s="44"/>
      <c r="W2554" s="44"/>
      <c r="X2554" s="44"/>
      <c r="Y2554" s="44"/>
    </row>
    <row r="2555" spans="14:25" ht="15" customHeight="1" x14ac:dyDescent="0.25">
      <c r="N2555" s="44"/>
      <c r="O2555" s="44"/>
      <c r="P2555" s="44"/>
      <c r="Q2555" s="44"/>
      <c r="R2555" s="44"/>
      <c r="S2555" s="44"/>
      <c r="T2555" s="44"/>
      <c r="U2555" s="44"/>
      <c r="V2555" s="44"/>
      <c r="W2555" s="44"/>
      <c r="X2555" s="44"/>
      <c r="Y2555" s="44"/>
    </row>
    <row r="2556" spans="14:25" ht="15" customHeight="1" x14ac:dyDescent="0.25">
      <c r="N2556" s="44"/>
      <c r="O2556" s="44"/>
      <c r="P2556" s="44"/>
      <c r="Q2556" s="44"/>
      <c r="R2556" s="44"/>
      <c r="S2556" s="44"/>
      <c r="T2556" s="44"/>
      <c r="U2556" s="44"/>
      <c r="V2556" s="44"/>
      <c r="W2556" s="44"/>
      <c r="X2556" s="44"/>
      <c r="Y2556" s="44"/>
    </row>
    <row r="2557" spans="14:25" ht="15" customHeight="1" x14ac:dyDescent="0.25">
      <c r="N2557" s="44"/>
      <c r="O2557" s="44"/>
      <c r="P2557" s="44"/>
      <c r="Q2557" s="44"/>
      <c r="R2557" s="44"/>
      <c r="S2557" s="44"/>
      <c r="T2557" s="44"/>
      <c r="U2557" s="44"/>
      <c r="V2557" s="44"/>
      <c r="W2557" s="44"/>
      <c r="X2557" s="44"/>
      <c r="Y2557" s="44"/>
    </row>
    <row r="2558" spans="14:25" ht="15" customHeight="1" x14ac:dyDescent="0.25">
      <c r="N2558" s="44"/>
      <c r="O2558" s="44"/>
      <c r="P2558" s="44"/>
      <c r="Q2558" s="44"/>
      <c r="R2558" s="44"/>
      <c r="S2558" s="44"/>
      <c r="T2558" s="44"/>
      <c r="U2558" s="44"/>
      <c r="V2558" s="44"/>
      <c r="W2558" s="44"/>
      <c r="X2558" s="44"/>
      <c r="Y2558" s="44"/>
    </row>
    <row r="2559" spans="14:25" ht="15" customHeight="1" x14ac:dyDescent="0.25">
      <c r="N2559" s="44"/>
      <c r="O2559" s="44"/>
      <c r="P2559" s="44"/>
      <c r="Q2559" s="44"/>
      <c r="R2559" s="44"/>
      <c r="S2559" s="44"/>
      <c r="T2559" s="44"/>
      <c r="U2559" s="44"/>
      <c r="V2559" s="44"/>
      <c r="W2559" s="44"/>
      <c r="X2559" s="44"/>
      <c r="Y2559" s="44"/>
    </row>
    <row r="2560" spans="14:25" ht="15" customHeight="1" x14ac:dyDescent="0.25">
      <c r="N2560" s="44"/>
      <c r="O2560" s="44"/>
      <c r="P2560" s="44"/>
      <c r="Q2560" s="44"/>
      <c r="R2560" s="44"/>
      <c r="S2560" s="44"/>
      <c r="T2560" s="44"/>
      <c r="U2560" s="44"/>
      <c r="V2560" s="44"/>
      <c r="W2560" s="44"/>
      <c r="X2560" s="44"/>
      <c r="Y2560" s="44"/>
    </row>
    <row r="2561" spans="14:25" ht="15" customHeight="1" x14ac:dyDescent="0.25">
      <c r="N2561" s="44"/>
      <c r="O2561" s="44"/>
      <c r="P2561" s="44"/>
      <c r="Q2561" s="44"/>
      <c r="R2561" s="44"/>
      <c r="S2561" s="44"/>
      <c r="T2561" s="44"/>
      <c r="U2561" s="44"/>
      <c r="V2561" s="44"/>
      <c r="W2561" s="44"/>
      <c r="X2561" s="44"/>
      <c r="Y2561" s="44"/>
    </row>
    <row r="2562" spans="14:25" ht="15" customHeight="1" x14ac:dyDescent="0.25">
      <c r="N2562" s="44"/>
      <c r="O2562" s="44"/>
      <c r="P2562" s="44"/>
      <c r="Q2562" s="44"/>
      <c r="R2562" s="44"/>
      <c r="S2562" s="44"/>
      <c r="T2562" s="44"/>
      <c r="U2562" s="44"/>
      <c r="V2562" s="44"/>
      <c r="W2562" s="44"/>
      <c r="X2562" s="44"/>
      <c r="Y2562" s="44"/>
    </row>
    <row r="2563" spans="14:25" ht="15" customHeight="1" x14ac:dyDescent="0.25">
      <c r="N2563" s="44"/>
      <c r="O2563" s="44"/>
      <c r="P2563" s="44"/>
      <c r="Q2563" s="44"/>
      <c r="R2563" s="44"/>
      <c r="S2563" s="44"/>
      <c r="T2563" s="44"/>
      <c r="U2563" s="44"/>
      <c r="V2563" s="44"/>
      <c r="W2563" s="44"/>
      <c r="X2563" s="44"/>
      <c r="Y2563" s="44"/>
    </row>
    <row r="2564" spans="14:25" ht="15" customHeight="1" x14ac:dyDescent="0.25">
      <c r="N2564" s="44"/>
      <c r="O2564" s="44"/>
      <c r="P2564" s="44"/>
      <c r="Q2564" s="44"/>
      <c r="R2564" s="44"/>
      <c r="S2564" s="44"/>
      <c r="T2564" s="44"/>
      <c r="U2564" s="44"/>
      <c r="V2564" s="44"/>
      <c r="W2564" s="44"/>
      <c r="X2564" s="44"/>
      <c r="Y2564" s="44"/>
    </row>
    <row r="2565" spans="14:25" ht="15" customHeight="1" x14ac:dyDescent="0.25">
      <c r="N2565" s="44"/>
      <c r="O2565" s="44"/>
      <c r="P2565" s="44"/>
      <c r="Q2565" s="44"/>
      <c r="R2565" s="44"/>
      <c r="S2565" s="44"/>
      <c r="T2565" s="44"/>
      <c r="U2565" s="44"/>
      <c r="V2565" s="44"/>
      <c r="W2565" s="44"/>
      <c r="X2565" s="44"/>
      <c r="Y2565" s="44"/>
    </row>
    <row r="2566" spans="14:25" ht="15" customHeight="1" x14ac:dyDescent="0.25">
      <c r="N2566" s="44"/>
      <c r="O2566" s="44"/>
      <c r="P2566" s="44"/>
      <c r="Q2566" s="44"/>
      <c r="R2566" s="44"/>
      <c r="S2566" s="44"/>
      <c r="T2566" s="44"/>
      <c r="U2566" s="44"/>
      <c r="V2566" s="44"/>
      <c r="W2566" s="44"/>
      <c r="X2566" s="44"/>
      <c r="Y2566" s="44"/>
    </row>
    <row r="2567" spans="14:25" ht="15" customHeight="1" x14ac:dyDescent="0.25">
      <c r="N2567" s="44"/>
      <c r="O2567" s="44"/>
      <c r="P2567" s="44"/>
      <c r="Q2567" s="44"/>
      <c r="R2567" s="44"/>
      <c r="S2567" s="44"/>
      <c r="T2567" s="44"/>
      <c r="U2567" s="44"/>
      <c r="V2567" s="44"/>
      <c r="W2567" s="44"/>
      <c r="X2567" s="44"/>
      <c r="Y2567" s="44"/>
    </row>
    <row r="2568" spans="14:25" ht="15" customHeight="1" x14ac:dyDescent="0.25">
      <c r="N2568" s="44"/>
      <c r="O2568" s="44"/>
      <c r="P2568" s="44"/>
      <c r="Q2568" s="44"/>
      <c r="R2568" s="44"/>
      <c r="S2568" s="44"/>
      <c r="T2568" s="44"/>
      <c r="U2568" s="44"/>
      <c r="V2568" s="44"/>
      <c r="W2568" s="44"/>
      <c r="X2568" s="44"/>
      <c r="Y2568" s="44"/>
    </row>
    <row r="2569" spans="14:25" ht="15" customHeight="1" x14ac:dyDescent="0.25">
      <c r="N2569" s="44"/>
      <c r="O2569" s="44"/>
      <c r="P2569" s="44"/>
      <c r="Q2569" s="44"/>
      <c r="R2569" s="44"/>
      <c r="S2569" s="44"/>
      <c r="T2569" s="44"/>
      <c r="U2569" s="44"/>
      <c r="V2569" s="44"/>
      <c r="W2569" s="44"/>
      <c r="X2569" s="44"/>
      <c r="Y2569" s="44"/>
    </row>
    <row r="2570" spans="14:25" ht="15" customHeight="1" x14ac:dyDescent="0.25">
      <c r="N2570" s="44"/>
      <c r="O2570" s="44"/>
      <c r="P2570" s="44"/>
      <c r="Q2570" s="44"/>
      <c r="R2570" s="44"/>
      <c r="S2570" s="44"/>
      <c r="T2570" s="44"/>
      <c r="U2570" s="44"/>
      <c r="V2570" s="44"/>
      <c r="W2570" s="44"/>
      <c r="X2570" s="44"/>
      <c r="Y2570" s="44"/>
    </row>
    <row r="2571" spans="14:25" ht="15" customHeight="1" x14ac:dyDescent="0.25">
      <c r="N2571" s="44"/>
      <c r="O2571" s="44"/>
      <c r="P2571" s="44"/>
      <c r="Q2571" s="44"/>
      <c r="R2571" s="44"/>
      <c r="S2571" s="44"/>
      <c r="T2571" s="44"/>
      <c r="U2571" s="44"/>
      <c r="V2571" s="44"/>
      <c r="W2571" s="44"/>
      <c r="X2571" s="44"/>
      <c r="Y2571" s="44"/>
    </row>
    <row r="2572" spans="14:25" ht="15" customHeight="1" x14ac:dyDescent="0.25">
      <c r="N2572" s="44"/>
      <c r="O2572" s="44"/>
      <c r="P2572" s="44"/>
      <c r="Q2572" s="44"/>
      <c r="R2572" s="44"/>
      <c r="S2572" s="44"/>
      <c r="T2572" s="44"/>
      <c r="U2572" s="44"/>
      <c r="V2572" s="44"/>
      <c r="W2572" s="44"/>
      <c r="X2572" s="44"/>
      <c r="Y2572" s="44"/>
    </row>
    <row r="2573" spans="14:25" ht="15" customHeight="1" x14ac:dyDescent="0.25">
      <c r="N2573" s="44"/>
      <c r="O2573" s="44"/>
      <c r="P2573" s="44"/>
      <c r="Q2573" s="44"/>
      <c r="R2573" s="44"/>
      <c r="S2573" s="44"/>
      <c r="T2573" s="44"/>
      <c r="U2573" s="44"/>
      <c r="V2573" s="44"/>
      <c r="W2573" s="44"/>
      <c r="X2573" s="44"/>
      <c r="Y2573" s="44"/>
    </row>
    <row r="2574" spans="14:25" ht="15" customHeight="1" x14ac:dyDescent="0.25">
      <c r="N2574" s="44"/>
      <c r="O2574" s="44"/>
      <c r="P2574" s="44"/>
      <c r="Q2574" s="44"/>
      <c r="R2574" s="44"/>
      <c r="S2574" s="44"/>
      <c r="T2574" s="44"/>
      <c r="U2574" s="44"/>
      <c r="V2574" s="44"/>
      <c r="W2574" s="44"/>
      <c r="X2574" s="44"/>
      <c r="Y2574" s="44"/>
    </row>
    <row r="2575" spans="14:25" ht="15" customHeight="1" x14ac:dyDescent="0.25">
      <c r="N2575" s="44"/>
      <c r="O2575" s="44"/>
      <c r="P2575" s="44"/>
      <c r="Q2575" s="44"/>
      <c r="R2575" s="44"/>
      <c r="S2575" s="44"/>
      <c r="T2575" s="44"/>
      <c r="U2575" s="44"/>
      <c r="V2575" s="44"/>
      <c r="W2575" s="44"/>
      <c r="X2575" s="44"/>
      <c r="Y2575" s="44"/>
    </row>
    <row r="2576" spans="14:25" ht="15" customHeight="1" x14ac:dyDescent="0.25">
      <c r="N2576" s="44"/>
      <c r="O2576" s="44"/>
      <c r="P2576" s="44"/>
      <c r="Q2576" s="44"/>
      <c r="R2576" s="44"/>
      <c r="S2576" s="44"/>
      <c r="T2576" s="44"/>
      <c r="U2576" s="44"/>
      <c r="V2576" s="44"/>
      <c r="W2576" s="44"/>
      <c r="X2576" s="44"/>
      <c r="Y2576" s="44"/>
    </row>
    <row r="2577" spans="14:25" ht="15" customHeight="1" x14ac:dyDescent="0.25">
      <c r="N2577" s="44"/>
      <c r="O2577" s="44"/>
      <c r="P2577" s="44"/>
      <c r="Q2577" s="44"/>
      <c r="R2577" s="44"/>
      <c r="S2577" s="44"/>
      <c r="T2577" s="44"/>
      <c r="U2577" s="44"/>
      <c r="V2577" s="44"/>
      <c r="W2577" s="44"/>
      <c r="X2577" s="44"/>
      <c r="Y2577" s="44"/>
    </row>
    <row r="2578" spans="14:25" ht="15" customHeight="1" x14ac:dyDescent="0.25">
      <c r="N2578" s="44"/>
      <c r="O2578" s="44"/>
      <c r="P2578" s="44"/>
      <c r="Q2578" s="44"/>
      <c r="R2578" s="44"/>
      <c r="S2578" s="44"/>
      <c r="T2578" s="44"/>
      <c r="U2578" s="44"/>
      <c r="V2578" s="44"/>
      <c r="W2578" s="44"/>
      <c r="X2578" s="44"/>
      <c r="Y2578" s="44"/>
    </row>
    <row r="2579" spans="14:25" ht="15" customHeight="1" x14ac:dyDescent="0.25">
      <c r="N2579" s="44"/>
      <c r="O2579" s="44"/>
      <c r="P2579" s="44"/>
      <c r="Q2579" s="44"/>
      <c r="R2579" s="44"/>
      <c r="S2579" s="44"/>
      <c r="T2579" s="44"/>
      <c r="U2579" s="44"/>
      <c r="V2579" s="44"/>
      <c r="W2579" s="44"/>
      <c r="X2579" s="44"/>
      <c r="Y2579" s="44"/>
    </row>
    <row r="2580" spans="14:25" ht="15" customHeight="1" x14ac:dyDescent="0.25">
      <c r="N2580" s="44"/>
      <c r="O2580" s="44"/>
      <c r="P2580" s="44"/>
      <c r="Q2580" s="44"/>
      <c r="R2580" s="44"/>
      <c r="S2580" s="44"/>
      <c r="T2580" s="44"/>
      <c r="U2580" s="44"/>
      <c r="V2580" s="44"/>
      <c r="W2580" s="44"/>
      <c r="X2580" s="44"/>
      <c r="Y2580" s="44"/>
    </row>
    <row r="2581" spans="14:25" ht="15" customHeight="1" x14ac:dyDescent="0.25">
      <c r="N2581" s="44"/>
      <c r="O2581" s="44"/>
      <c r="P2581" s="44"/>
      <c r="Q2581" s="44"/>
      <c r="R2581" s="44"/>
      <c r="S2581" s="44"/>
      <c r="T2581" s="44"/>
      <c r="U2581" s="44"/>
      <c r="V2581" s="44"/>
      <c r="W2581" s="44"/>
      <c r="X2581" s="44"/>
      <c r="Y2581" s="44"/>
    </row>
    <row r="2582" spans="14:25" ht="15" customHeight="1" x14ac:dyDescent="0.25">
      <c r="N2582" s="44"/>
      <c r="O2582" s="44"/>
      <c r="P2582" s="44"/>
      <c r="Q2582" s="44"/>
      <c r="R2582" s="44"/>
      <c r="S2582" s="44"/>
      <c r="T2582" s="44"/>
      <c r="U2582" s="44"/>
      <c r="V2582" s="44"/>
      <c r="W2582" s="44"/>
      <c r="X2582" s="44"/>
      <c r="Y2582" s="44"/>
    </row>
    <row r="2583" spans="14:25" ht="15" customHeight="1" x14ac:dyDescent="0.25">
      <c r="N2583" s="44"/>
      <c r="O2583" s="44"/>
      <c r="P2583" s="44"/>
      <c r="Q2583" s="44"/>
      <c r="R2583" s="44"/>
      <c r="S2583" s="44"/>
      <c r="T2583" s="44"/>
      <c r="U2583" s="44"/>
      <c r="V2583" s="44"/>
      <c r="W2583" s="44"/>
      <c r="X2583" s="44"/>
      <c r="Y2583" s="44"/>
    </row>
    <row r="2584" spans="14:25" ht="15" customHeight="1" x14ac:dyDescent="0.25">
      <c r="N2584" s="44"/>
      <c r="O2584" s="44"/>
      <c r="P2584" s="44"/>
      <c r="Q2584" s="44"/>
      <c r="R2584" s="44"/>
      <c r="S2584" s="44"/>
      <c r="T2584" s="44"/>
      <c r="U2584" s="44"/>
      <c r="V2584" s="44"/>
      <c r="W2584" s="44"/>
      <c r="X2584" s="44"/>
      <c r="Y2584" s="44"/>
    </row>
    <row r="2585" spans="14:25" ht="15" customHeight="1" x14ac:dyDescent="0.25">
      <c r="N2585" s="44"/>
      <c r="O2585" s="44"/>
      <c r="P2585" s="44"/>
      <c r="Q2585" s="44"/>
      <c r="R2585" s="44"/>
      <c r="S2585" s="44"/>
      <c r="T2585" s="44"/>
      <c r="U2585" s="44"/>
      <c r="V2585" s="44"/>
      <c r="W2585" s="44"/>
      <c r="X2585" s="44"/>
      <c r="Y2585" s="44"/>
    </row>
    <row r="2586" spans="14:25" ht="15" customHeight="1" x14ac:dyDescent="0.25">
      <c r="N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44"/>
      <c r="Y2586" s="44"/>
    </row>
    <row r="2587" spans="14:25" ht="15" customHeight="1" x14ac:dyDescent="0.25">
      <c r="N2587" s="44"/>
      <c r="O2587" s="44"/>
      <c r="P2587" s="44"/>
      <c r="Q2587" s="44"/>
      <c r="R2587" s="44"/>
      <c r="S2587" s="44"/>
      <c r="T2587" s="44"/>
      <c r="U2587" s="44"/>
      <c r="V2587" s="44"/>
      <c r="W2587" s="44"/>
      <c r="X2587" s="44"/>
      <c r="Y2587" s="44"/>
    </row>
    <row r="2588" spans="14:25" ht="15" customHeight="1" x14ac:dyDescent="0.25">
      <c r="N2588" s="44"/>
      <c r="O2588" s="44"/>
      <c r="P2588" s="44"/>
      <c r="Q2588" s="44"/>
      <c r="R2588" s="44"/>
      <c r="S2588" s="44"/>
      <c r="T2588" s="44"/>
      <c r="U2588" s="44"/>
      <c r="V2588" s="44"/>
      <c r="W2588" s="44"/>
      <c r="X2588" s="44"/>
      <c r="Y2588" s="44"/>
    </row>
    <row r="2589" spans="14:25" ht="15" customHeight="1" x14ac:dyDescent="0.25">
      <c r="N2589" s="44"/>
      <c r="O2589" s="44"/>
      <c r="P2589" s="44"/>
      <c r="Q2589" s="44"/>
      <c r="R2589" s="44"/>
      <c r="S2589" s="44"/>
      <c r="T2589" s="44"/>
      <c r="U2589" s="44"/>
      <c r="V2589" s="44"/>
      <c r="W2589" s="44"/>
      <c r="X2589" s="44"/>
      <c r="Y2589" s="44"/>
    </row>
    <row r="2590" spans="14:25" ht="15" customHeight="1" x14ac:dyDescent="0.25">
      <c r="N2590" s="44"/>
      <c r="O2590" s="44"/>
      <c r="P2590" s="44"/>
      <c r="Q2590" s="44"/>
      <c r="R2590" s="44"/>
      <c r="S2590" s="44"/>
      <c r="T2590" s="44"/>
      <c r="U2590" s="44"/>
      <c r="V2590" s="44"/>
      <c r="W2590" s="44"/>
      <c r="X2590" s="44"/>
      <c r="Y2590" s="44"/>
    </row>
    <row r="2591" spans="14:25" ht="15" customHeight="1" x14ac:dyDescent="0.25">
      <c r="N2591" s="44"/>
      <c r="O2591" s="44"/>
      <c r="P2591" s="44"/>
      <c r="Q2591" s="44"/>
      <c r="R2591" s="44"/>
      <c r="S2591" s="44"/>
      <c r="T2591" s="44"/>
      <c r="U2591" s="44"/>
      <c r="V2591" s="44"/>
      <c r="W2591" s="44"/>
      <c r="X2591" s="44"/>
      <c r="Y2591" s="44"/>
    </row>
    <row r="2592" spans="14:25" ht="15" customHeight="1" x14ac:dyDescent="0.25">
      <c r="N2592" s="44"/>
      <c r="O2592" s="44"/>
      <c r="P2592" s="44"/>
      <c r="Q2592" s="44"/>
      <c r="R2592" s="44"/>
      <c r="S2592" s="44"/>
      <c r="T2592" s="44"/>
      <c r="U2592" s="44"/>
      <c r="V2592" s="44"/>
      <c r="W2592" s="44"/>
      <c r="X2592" s="44"/>
      <c r="Y2592" s="44"/>
    </row>
    <row r="2593" spans="14:25" ht="15" customHeight="1" x14ac:dyDescent="0.25">
      <c r="N2593" s="44"/>
      <c r="O2593" s="44"/>
      <c r="P2593" s="44"/>
      <c r="Q2593" s="44"/>
      <c r="R2593" s="44"/>
      <c r="S2593" s="44"/>
      <c r="T2593" s="44"/>
      <c r="U2593" s="44"/>
      <c r="V2593" s="44"/>
      <c r="W2593" s="44"/>
      <c r="X2593" s="44"/>
      <c r="Y2593" s="44"/>
    </row>
    <row r="2594" spans="14:25" ht="15" customHeight="1" x14ac:dyDescent="0.25">
      <c r="N2594" s="44"/>
      <c r="O2594" s="44"/>
      <c r="P2594" s="44"/>
      <c r="Q2594" s="44"/>
      <c r="R2594" s="44"/>
      <c r="S2594" s="44"/>
      <c r="T2594" s="44"/>
      <c r="U2594" s="44"/>
      <c r="V2594" s="44"/>
      <c r="W2594" s="44"/>
      <c r="X2594" s="44"/>
      <c r="Y2594" s="44"/>
    </row>
    <row r="2595" spans="14:25" ht="15" customHeight="1" x14ac:dyDescent="0.25">
      <c r="N2595" s="44"/>
      <c r="O2595" s="44"/>
      <c r="P2595" s="44"/>
      <c r="Q2595" s="44"/>
      <c r="R2595" s="44"/>
      <c r="S2595" s="44"/>
      <c r="T2595" s="44"/>
      <c r="U2595" s="44"/>
      <c r="V2595" s="44"/>
      <c r="W2595" s="44"/>
      <c r="X2595" s="44"/>
      <c r="Y2595" s="44"/>
    </row>
    <row r="2596" spans="14:25" ht="15" customHeight="1" x14ac:dyDescent="0.25">
      <c r="N2596" s="44"/>
      <c r="O2596" s="44"/>
      <c r="P2596" s="44"/>
      <c r="Q2596" s="44"/>
      <c r="R2596" s="44"/>
      <c r="S2596" s="44"/>
      <c r="T2596" s="44"/>
      <c r="U2596" s="44"/>
      <c r="V2596" s="44"/>
      <c r="W2596" s="44"/>
      <c r="X2596" s="44"/>
      <c r="Y2596" s="44"/>
    </row>
    <row r="2597" spans="14:25" ht="15" customHeight="1" x14ac:dyDescent="0.25">
      <c r="N2597" s="44"/>
      <c r="O2597" s="44"/>
      <c r="P2597" s="44"/>
      <c r="Q2597" s="44"/>
      <c r="R2597" s="44"/>
      <c r="S2597" s="44"/>
      <c r="T2597" s="44"/>
      <c r="U2597" s="44"/>
      <c r="V2597" s="44"/>
      <c r="W2597" s="44"/>
      <c r="X2597" s="44"/>
      <c r="Y2597" s="44"/>
    </row>
    <row r="2598" spans="14:25" ht="15" customHeight="1" x14ac:dyDescent="0.25">
      <c r="N2598" s="44"/>
      <c r="O2598" s="44"/>
      <c r="P2598" s="44"/>
      <c r="Q2598" s="44"/>
      <c r="R2598" s="44"/>
      <c r="S2598" s="44"/>
      <c r="T2598" s="44"/>
      <c r="U2598" s="44"/>
      <c r="V2598" s="44"/>
      <c r="W2598" s="44"/>
      <c r="X2598" s="44"/>
      <c r="Y2598" s="44"/>
    </row>
    <row r="2599" spans="14:25" ht="15" customHeight="1" x14ac:dyDescent="0.25">
      <c r="N2599" s="44"/>
      <c r="O2599" s="44"/>
      <c r="P2599" s="44"/>
      <c r="Q2599" s="44"/>
      <c r="R2599" s="44"/>
      <c r="S2599" s="44"/>
      <c r="T2599" s="44"/>
      <c r="U2599" s="44"/>
      <c r="V2599" s="44"/>
      <c r="W2599" s="44"/>
      <c r="X2599" s="44"/>
      <c r="Y2599" s="44"/>
    </row>
    <row r="2600" spans="14:25" ht="15" customHeight="1" x14ac:dyDescent="0.25">
      <c r="N2600" s="44"/>
      <c r="O2600" s="44"/>
      <c r="P2600" s="44"/>
      <c r="Q2600" s="44"/>
      <c r="R2600" s="44"/>
      <c r="S2600" s="44"/>
      <c r="T2600" s="44"/>
      <c r="U2600" s="44"/>
      <c r="V2600" s="44"/>
      <c r="W2600" s="44"/>
      <c r="X2600" s="44"/>
      <c r="Y2600" s="44"/>
    </row>
    <row r="2601" spans="14:25" ht="15" customHeight="1" x14ac:dyDescent="0.25">
      <c r="N2601" s="44"/>
      <c r="O2601" s="44"/>
      <c r="P2601" s="44"/>
      <c r="Q2601" s="44"/>
      <c r="R2601" s="44"/>
      <c r="S2601" s="44"/>
      <c r="T2601" s="44"/>
      <c r="U2601" s="44"/>
      <c r="V2601" s="44"/>
      <c r="W2601" s="44"/>
      <c r="X2601" s="44"/>
      <c r="Y2601" s="44"/>
    </row>
    <row r="2602" spans="14:25" ht="15" customHeight="1" x14ac:dyDescent="0.25">
      <c r="N2602" s="44"/>
      <c r="O2602" s="44"/>
      <c r="P2602" s="44"/>
      <c r="Q2602" s="44"/>
      <c r="R2602" s="44"/>
      <c r="S2602" s="44"/>
      <c r="T2602" s="44"/>
      <c r="U2602" s="44"/>
      <c r="V2602" s="44"/>
      <c r="W2602" s="44"/>
      <c r="X2602" s="44"/>
      <c r="Y2602" s="44"/>
    </row>
    <row r="2603" spans="14:25" ht="15" customHeight="1" x14ac:dyDescent="0.25">
      <c r="N2603" s="44"/>
      <c r="O2603" s="44"/>
      <c r="P2603" s="44"/>
      <c r="Q2603" s="44"/>
      <c r="R2603" s="44"/>
      <c r="S2603" s="44"/>
      <c r="T2603" s="44"/>
      <c r="U2603" s="44"/>
      <c r="V2603" s="44"/>
      <c r="W2603" s="44"/>
      <c r="X2603" s="44"/>
      <c r="Y2603" s="44"/>
    </row>
    <row r="2604" spans="14:25" ht="15" customHeight="1" x14ac:dyDescent="0.25">
      <c r="N2604" s="44"/>
      <c r="O2604" s="44"/>
      <c r="P2604" s="44"/>
      <c r="Q2604" s="44"/>
      <c r="R2604" s="44"/>
      <c r="S2604" s="44"/>
      <c r="T2604" s="44"/>
      <c r="U2604" s="44"/>
      <c r="V2604" s="44"/>
      <c r="W2604" s="44"/>
      <c r="X2604" s="44"/>
      <c r="Y2604" s="44"/>
    </row>
    <row r="2605" spans="14:25" ht="15" customHeight="1" x14ac:dyDescent="0.25">
      <c r="N2605" s="44"/>
      <c r="O2605" s="44"/>
      <c r="P2605" s="44"/>
      <c r="Q2605" s="44"/>
      <c r="R2605" s="44"/>
      <c r="S2605" s="44"/>
      <c r="T2605" s="44"/>
      <c r="U2605" s="44"/>
      <c r="V2605" s="44"/>
      <c r="W2605" s="44"/>
      <c r="X2605" s="44"/>
      <c r="Y2605" s="44"/>
    </row>
    <row r="2606" spans="14:25" ht="15" customHeight="1" x14ac:dyDescent="0.25">
      <c r="N2606" s="44"/>
      <c r="O2606" s="44"/>
      <c r="P2606" s="44"/>
      <c r="Q2606" s="44"/>
      <c r="R2606" s="44"/>
      <c r="S2606" s="44"/>
      <c r="T2606" s="44"/>
      <c r="U2606" s="44"/>
      <c r="V2606" s="44"/>
      <c r="W2606" s="44"/>
      <c r="X2606" s="44"/>
      <c r="Y2606" s="44"/>
    </row>
    <row r="2607" spans="14:25" ht="15" customHeight="1" x14ac:dyDescent="0.25">
      <c r="N2607" s="44"/>
      <c r="O2607" s="44"/>
      <c r="P2607" s="44"/>
      <c r="Q2607" s="44"/>
      <c r="R2607" s="44"/>
      <c r="S2607" s="44"/>
      <c r="T2607" s="44"/>
      <c r="U2607" s="44"/>
      <c r="V2607" s="44"/>
      <c r="W2607" s="44"/>
      <c r="X2607" s="44"/>
      <c r="Y2607" s="44"/>
    </row>
    <row r="2608" spans="14:25" ht="15" customHeight="1" x14ac:dyDescent="0.25">
      <c r="N2608" s="44"/>
      <c r="O2608" s="44"/>
      <c r="P2608" s="44"/>
      <c r="Q2608" s="44"/>
      <c r="R2608" s="44"/>
      <c r="S2608" s="44"/>
      <c r="T2608" s="44"/>
      <c r="U2608" s="44"/>
      <c r="V2608" s="44"/>
      <c r="W2608" s="44"/>
      <c r="X2608" s="44"/>
      <c r="Y2608" s="44"/>
    </row>
    <row r="2609" spans="14:25" ht="15" customHeight="1" x14ac:dyDescent="0.25">
      <c r="N2609" s="44"/>
      <c r="O2609" s="44"/>
      <c r="P2609" s="44"/>
      <c r="Q2609" s="44"/>
      <c r="R2609" s="44"/>
      <c r="S2609" s="44"/>
      <c r="T2609" s="44"/>
      <c r="U2609" s="44"/>
      <c r="V2609" s="44"/>
      <c r="W2609" s="44"/>
      <c r="X2609" s="44"/>
      <c r="Y2609" s="44"/>
    </row>
    <row r="2610" spans="14:25" ht="15" customHeight="1" x14ac:dyDescent="0.25">
      <c r="N2610" s="44"/>
      <c r="O2610" s="44"/>
      <c r="P2610" s="44"/>
      <c r="Q2610" s="44"/>
      <c r="R2610" s="44"/>
      <c r="S2610" s="44"/>
      <c r="T2610" s="44"/>
      <c r="U2610" s="44"/>
      <c r="V2610" s="44"/>
      <c r="W2610" s="44"/>
      <c r="X2610" s="44"/>
      <c r="Y2610" s="44"/>
    </row>
    <row r="2611" spans="14:25" ht="15" customHeight="1" x14ac:dyDescent="0.25">
      <c r="N2611" s="44"/>
      <c r="O2611" s="44"/>
      <c r="P2611" s="44"/>
      <c r="Q2611" s="44"/>
      <c r="R2611" s="44"/>
      <c r="S2611" s="44"/>
      <c r="T2611" s="44"/>
      <c r="U2611" s="44"/>
      <c r="V2611" s="44"/>
      <c r="W2611" s="44"/>
      <c r="X2611" s="44"/>
      <c r="Y2611" s="44"/>
    </row>
    <row r="2612" spans="14:25" ht="15" customHeight="1" x14ac:dyDescent="0.25">
      <c r="N2612" s="44"/>
      <c r="O2612" s="44"/>
      <c r="P2612" s="44"/>
      <c r="Q2612" s="44"/>
      <c r="R2612" s="44"/>
      <c r="S2612" s="44"/>
      <c r="T2612" s="44"/>
      <c r="U2612" s="44"/>
      <c r="V2612" s="44"/>
      <c r="W2612" s="44"/>
      <c r="X2612" s="44"/>
      <c r="Y2612" s="44"/>
    </row>
    <row r="2613" spans="14:25" ht="15" customHeight="1" x14ac:dyDescent="0.25">
      <c r="N2613" s="44"/>
      <c r="O2613" s="44"/>
      <c r="P2613" s="44"/>
      <c r="Q2613" s="44"/>
      <c r="R2613" s="44"/>
      <c r="S2613" s="44"/>
      <c r="T2613" s="44"/>
      <c r="U2613" s="44"/>
      <c r="V2613" s="44"/>
      <c r="W2613" s="44"/>
      <c r="X2613" s="44"/>
      <c r="Y2613" s="44"/>
    </row>
    <row r="2614" spans="14:25" ht="15" customHeight="1" x14ac:dyDescent="0.25">
      <c r="N2614" s="44"/>
      <c r="O2614" s="44"/>
      <c r="P2614" s="44"/>
      <c r="Q2614" s="44"/>
      <c r="R2614" s="44"/>
      <c r="S2614" s="44"/>
      <c r="T2614" s="44"/>
      <c r="U2614" s="44"/>
      <c r="V2614" s="44"/>
      <c r="W2614" s="44"/>
      <c r="X2614" s="44"/>
      <c r="Y2614" s="44"/>
    </row>
    <row r="2615" spans="14:25" ht="15" customHeight="1" x14ac:dyDescent="0.25">
      <c r="N2615" s="44"/>
      <c r="O2615" s="44"/>
      <c r="P2615" s="44"/>
      <c r="Q2615" s="44"/>
      <c r="R2615" s="44"/>
      <c r="S2615" s="44"/>
      <c r="T2615" s="44"/>
      <c r="U2615" s="44"/>
      <c r="V2615" s="44"/>
      <c r="W2615" s="44"/>
      <c r="X2615" s="44"/>
      <c r="Y2615" s="44"/>
    </row>
    <row r="2616" spans="14:25" ht="15" customHeight="1" x14ac:dyDescent="0.25">
      <c r="N2616" s="44"/>
      <c r="O2616" s="44"/>
      <c r="P2616" s="44"/>
      <c r="Q2616" s="44"/>
      <c r="R2616" s="44"/>
      <c r="S2616" s="44"/>
      <c r="T2616" s="44"/>
      <c r="U2616" s="44"/>
      <c r="V2616" s="44"/>
      <c r="W2616" s="44"/>
      <c r="X2616" s="44"/>
      <c r="Y2616" s="44"/>
    </row>
    <row r="2617" spans="14:25" ht="15" customHeight="1" x14ac:dyDescent="0.25">
      <c r="N2617" s="44"/>
      <c r="O2617" s="44"/>
      <c r="P2617" s="44"/>
      <c r="Q2617" s="44"/>
      <c r="R2617" s="44"/>
      <c r="S2617" s="44"/>
      <c r="T2617" s="44"/>
      <c r="U2617" s="44"/>
      <c r="V2617" s="44"/>
      <c r="W2617" s="44"/>
      <c r="X2617" s="44"/>
      <c r="Y2617" s="44"/>
    </row>
    <row r="2618" spans="14:25" ht="15" customHeight="1" x14ac:dyDescent="0.25">
      <c r="N2618" s="44"/>
      <c r="O2618" s="44"/>
      <c r="P2618" s="44"/>
      <c r="Q2618" s="44"/>
      <c r="R2618" s="44"/>
      <c r="S2618" s="44"/>
      <c r="T2618" s="44"/>
      <c r="U2618" s="44"/>
      <c r="V2618" s="44"/>
      <c r="W2618" s="44"/>
      <c r="X2618" s="44"/>
      <c r="Y2618" s="44"/>
    </row>
    <row r="2619" spans="14:25" ht="15" customHeight="1" x14ac:dyDescent="0.25">
      <c r="N2619" s="44"/>
      <c r="O2619" s="44"/>
      <c r="P2619" s="44"/>
      <c r="Q2619" s="44"/>
      <c r="R2619" s="44"/>
      <c r="S2619" s="44"/>
      <c r="T2619" s="44"/>
      <c r="U2619" s="44"/>
      <c r="V2619" s="44"/>
      <c r="W2619" s="44"/>
      <c r="X2619" s="44"/>
      <c r="Y2619" s="44"/>
    </row>
    <row r="2620" spans="14:25" ht="15" customHeight="1" x14ac:dyDescent="0.25">
      <c r="N2620" s="44"/>
      <c r="O2620" s="44"/>
      <c r="P2620" s="44"/>
      <c r="Q2620" s="44"/>
      <c r="R2620" s="44"/>
      <c r="S2620" s="44"/>
      <c r="T2620" s="44"/>
      <c r="U2620" s="44"/>
      <c r="V2620" s="44"/>
      <c r="W2620" s="44"/>
      <c r="X2620" s="44"/>
      <c r="Y2620" s="44"/>
    </row>
    <row r="2621" spans="14:25" ht="15" customHeight="1" x14ac:dyDescent="0.25">
      <c r="N2621" s="44"/>
      <c r="O2621" s="44"/>
      <c r="P2621" s="44"/>
      <c r="Q2621" s="44"/>
      <c r="R2621" s="44"/>
      <c r="S2621" s="44"/>
      <c r="T2621" s="44"/>
      <c r="U2621" s="44"/>
      <c r="V2621" s="44"/>
      <c r="W2621" s="44"/>
      <c r="X2621" s="44"/>
      <c r="Y2621" s="44"/>
    </row>
    <row r="2622" spans="14:25" ht="15" customHeight="1" x14ac:dyDescent="0.25">
      <c r="N2622" s="44"/>
      <c r="O2622" s="44"/>
      <c r="P2622" s="44"/>
      <c r="Q2622" s="44"/>
      <c r="R2622" s="44"/>
      <c r="S2622" s="44"/>
      <c r="T2622" s="44"/>
      <c r="U2622" s="44"/>
      <c r="V2622" s="44"/>
      <c r="W2622" s="44"/>
      <c r="X2622" s="44"/>
      <c r="Y2622" s="44"/>
    </row>
    <row r="2623" spans="14:25" ht="15" customHeight="1" x14ac:dyDescent="0.25">
      <c r="N2623" s="44"/>
      <c r="O2623" s="44"/>
      <c r="P2623" s="44"/>
      <c r="Q2623" s="44"/>
      <c r="R2623" s="44"/>
      <c r="S2623" s="44"/>
      <c r="T2623" s="44"/>
      <c r="U2623" s="44"/>
      <c r="V2623" s="44"/>
      <c r="W2623" s="44"/>
      <c r="X2623" s="44"/>
      <c r="Y2623" s="44"/>
    </row>
    <row r="2624" spans="14:25" ht="15" customHeight="1" x14ac:dyDescent="0.25">
      <c r="N2624" s="44"/>
      <c r="O2624" s="44"/>
      <c r="P2624" s="44"/>
      <c r="Q2624" s="44"/>
      <c r="R2624" s="44"/>
      <c r="S2624" s="44"/>
      <c r="T2624" s="44"/>
      <c r="U2624" s="44"/>
      <c r="V2624" s="44"/>
      <c r="W2624" s="44"/>
      <c r="X2624" s="44"/>
      <c r="Y2624" s="44"/>
    </row>
    <row r="2625" spans="14:25" ht="15" customHeight="1" x14ac:dyDescent="0.25">
      <c r="N2625" s="44"/>
      <c r="O2625" s="44"/>
      <c r="P2625" s="44"/>
      <c r="Q2625" s="44"/>
      <c r="R2625" s="44"/>
      <c r="S2625" s="44"/>
      <c r="T2625" s="44"/>
      <c r="U2625" s="44"/>
      <c r="V2625" s="44"/>
      <c r="W2625" s="44"/>
      <c r="X2625" s="44"/>
      <c r="Y2625" s="44"/>
    </row>
    <row r="2626" spans="14:25" ht="15" customHeight="1" x14ac:dyDescent="0.25">
      <c r="N2626" s="44"/>
      <c r="O2626" s="44"/>
      <c r="P2626" s="44"/>
      <c r="Q2626" s="44"/>
      <c r="R2626" s="44"/>
      <c r="S2626" s="44"/>
      <c r="T2626" s="44"/>
      <c r="U2626" s="44"/>
      <c r="V2626" s="44"/>
      <c r="W2626" s="44"/>
      <c r="X2626" s="44"/>
      <c r="Y2626" s="44"/>
    </row>
    <row r="2627" spans="14:25" ht="15" customHeight="1" x14ac:dyDescent="0.25">
      <c r="N2627" s="44"/>
      <c r="O2627" s="44"/>
      <c r="P2627" s="44"/>
      <c r="Q2627" s="44"/>
      <c r="R2627" s="44"/>
      <c r="S2627" s="44"/>
      <c r="T2627" s="44"/>
      <c r="U2627" s="44"/>
      <c r="V2627" s="44"/>
      <c r="W2627" s="44"/>
      <c r="X2627" s="44"/>
      <c r="Y2627" s="44"/>
    </row>
    <row r="2628" spans="14:25" ht="15" customHeight="1" x14ac:dyDescent="0.25">
      <c r="N2628" s="44"/>
      <c r="O2628" s="44"/>
      <c r="P2628" s="44"/>
      <c r="Q2628" s="44"/>
      <c r="R2628" s="44"/>
      <c r="S2628" s="44"/>
      <c r="T2628" s="44"/>
      <c r="U2628" s="44"/>
      <c r="V2628" s="44"/>
      <c r="W2628" s="44"/>
      <c r="X2628" s="44"/>
      <c r="Y2628" s="44"/>
    </row>
    <row r="2629" spans="14:25" ht="15" customHeight="1" x14ac:dyDescent="0.25">
      <c r="N2629" s="44"/>
      <c r="O2629" s="44"/>
      <c r="P2629" s="44"/>
      <c r="Q2629" s="44"/>
      <c r="R2629" s="44"/>
      <c r="S2629" s="44"/>
      <c r="T2629" s="44"/>
      <c r="U2629" s="44"/>
      <c r="V2629" s="44"/>
      <c r="W2629" s="44"/>
      <c r="X2629" s="44"/>
      <c r="Y2629" s="44"/>
    </row>
    <row r="2630" spans="14:25" ht="15" customHeight="1" x14ac:dyDescent="0.25">
      <c r="N2630" s="44"/>
      <c r="O2630" s="44"/>
      <c r="P2630" s="44"/>
      <c r="Q2630" s="44"/>
      <c r="R2630" s="44"/>
      <c r="S2630" s="44"/>
      <c r="T2630" s="44"/>
      <c r="U2630" s="44"/>
      <c r="V2630" s="44"/>
      <c r="W2630" s="44"/>
      <c r="X2630" s="44"/>
      <c r="Y2630" s="44"/>
    </row>
    <row r="2631" spans="14:25" ht="15" customHeight="1" x14ac:dyDescent="0.25">
      <c r="N2631" s="44"/>
      <c r="O2631" s="44"/>
      <c r="P2631" s="44"/>
      <c r="Q2631" s="44"/>
      <c r="R2631" s="44"/>
      <c r="S2631" s="44"/>
      <c r="T2631" s="44"/>
      <c r="U2631" s="44"/>
      <c r="V2631" s="44"/>
      <c r="W2631" s="44"/>
      <c r="X2631" s="44"/>
      <c r="Y2631" s="44"/>
    </row>
    <row r="2632" spans="14:25" ht="15" customHeight="1" x14ac:dyDescent="0.25">
      <c r="N2632" s="44"/>
      <c r="O2632" s="44"/>
      <c r="P2632" s="44"/>
      <c r="Q2632" s="44"/>
      <c r="R2632" s="44"/>
      <c r="S2632" s="44"/>
      <c r="T2632" s="44"/>
      <c r="U2632" s="44"/>
      <c r="V2632" s="44"/>
      <c r="W2632" s="44"/>
      <c r="X2632" s="44"/>
      <c r="Y2632" s="44"/>
    </row>
    <row r="2633" spans="14:25" ht="15" customHeight="1" x14ac:dyDescent="0.25">
      <c r="N2633" s="44"/>
      <c r="O2633" s="44"/>
      <c r="P2633" s="44"/>
      <c r="Q2633" s="44"/>
      <c r="R2633" s="44"/>
      <c r="S2633" s="44"/>
      <c r="T2633" s="44"/>
      <c r="U2633" s="44"/>
      <c r="V2633" s="44"/>
      <c r="W2633" s="44"/>
      <c r="X2633" s="44"/>
      <c r="Y2633" s="44"/>
    </row>
    <row r="2634" spans="14:25" ht="15" customHeight="1" x14ac:dyDescent="0.25">
      <c r="N2634" s="44"/>
      <c r="O2634" s="44"/>
      <c r="P2634" s="44"/>
      <c r="Q2634" s="44"/>
      <c r="R2634" s="44"/>
      <c r="S2634" s="44"/>
      <c r="T2634" s="44"/>
      <c r="U2634" s="44"/>
      <c r="V2634" s="44"/>
      <c r="W2634" s="44"/>
      <c r="X2634" s="44"/>
      <c r="Y2634" s="44"/>
    </row>
    <row r="2635" spans="14:25" ht="15" customHeight="1" x14ac:dyDescent="0.25">
      <c r="N2635" s="44"/>
      <c r="O2635" s="44"/>
      <c r="P2635" s="44"/>
      <c r="Q2635" s="44"/>
      <c r="R2635" s="44"/>
      <c r="S2635" s="44"/>
      <c r="T2635" s="44"/>
      <c r="U2635" s="44"/>
      <c r="V2635" s="44"/>
      <c r="W2635" s="44"/>
      <c r="X2635" s="44"/>
      <c r="Y2635" s="44"/>
    </row>
    <row r="2636" spans="14:25" ht="15" customHeight="1" x14ac:dyDescent="0.25">
      <c r="N2636" s="44"/>
      <c r="O2636" s="44"/>
      <c r="P2636" s="44"/>
      <c r="Q2636" s="44"/>
      <c r="R2636" s="44"/>
      <c r="S2636" s="44"/>
      <c r="T2636" s="44"/>
      <c r="U2636" s="44"/>
      <c r="V2636" s="44"/>
      <c r="W2636" s="44"/>
      <c r="X2636" s="44"/>
      <c r="Y2636" s="44"/>
    </row>
    <row r="2637" spans="14:25" ht="15" customHeight="1" x14ac:dyDescent="0.25">
      <c r="N2637" s="44"/>
      <c r="O2637" s="44"/>
      <c r="P2637" s="44"/>
      <c r="Q2637" s="44"/>
      <c r="R2637" s="44"/>
      <c r="S2637" s="44"/>
      <c r="T2637" s="44"/>
      <c r="U2637" s="44"/>
      <c r="V2637" s="44"/>
      <c r="W2637" s="44"/>
      <c r="X2637" s="44"/>
      <c r="Y2637" s="44"/>
    </row>
    <row r="2638" spans="14:25" ht="15" customHeight="1" x14ac:dyDescent="0.25">
      <c r="N2638" s="44"/>
      <c r="O2638" s="44"/>
      <c r="P2638" s="44"/>
      <c r="Q2638" s="44"/>
      <c r="R2638" s="44"/>
      <c r="S2638" s="44"/>
      <c r="T2638" s="44"/>
      <c r="U2638" s="44"/>
      <c r="V2638" s="44"/>
      <c r="W2638" s="44"/>
      <c r="X2638" s="44"/>
      <c r="Y2638" s="44"/>
    </row>
    <row r="2639" spans="14:25" ht="15" customHeight="1" x14ac:dyDescent="0.25">
      <c r="N2639" s="44"/>
      <c r="O2639" s="44"/>
      <c r="P2639" s="44"/>
      <c r="Q2639" s="44"/>
      <c r="R2639" s="44"/>
      <c r="S2639" s="44"/>
      <c r="T2639" s="44"/>
      <c r="U2639" s="44"/>
      <c r="V2639" s="44"/>
      <c r="W2639" s="44"/>
      <c r="X2639" s="44"/>
      <c r="Y2639" s="44"/>
    </row>
    <row r="2640" spans="14:25" ht="15" customHeight="1" x14ac:dyDescent="0.25">
      <c r="N2640" s="44"/>
      <c r="O2640" s="44"/>
      <c r="P2640" s="44"/>
      <c r="Q2640" s="44"/>
      <c r="R2640" s="44"/>
      <c r="S2640" s="44"/>
      <c r="T2640" s="44"/>
      <c r="U2640" s="44"/>
      <c r="V2640" s="44"/>
      <c r="W2640" s="44"/>
      <c r="X2640" s="44"/>
      <c r="Y2640" s="44"/>
    </row>
    <row r="2641" spans="14:25" ht="15" customHeight="1" x14ac:dyDescent="0.25">
      <c r="N2641" s="44"/>
      <c r="O2641" s="44"/>
      <c r="P2641" s="44"/>
      <c r="Q2641" s="44"/>
      <c r="R2641" s="44"/>
      <c r="S2641" s="44"/>
      <c r="T2641" s="44"/>
      <c r="U2641" s="44"/>
      <c r="V2641" s="44"/>
      <c r="W2641" s="44"/>
      <c r="X2641" s="44"/>
      <c r="Y2641" s="44"/>
    </row>
    <row r="2642" spans="14:25" ht="15" customHeight="1" x14ac:dyDescent="0.25">
      <c r="N2642" s="44"/>
      <c r="O2642" s="44"/>
      <c r="P2642" s="44"/>
      <c r="Q2642" s="44"/>
      <c r="R2642" s="44"/>
      <c r="S2642" s="44"/>
      <c r="T2642" s="44"/>
      <c r="U2642" s="44"/>
      <c r="V2642" s="44"/>
      <c r="W2642" s="44"/>
      <c r="X2642" s="44"/>
      <c r="Y2642" s="44"/>
    </row>
    <row r="2643" spans="14:25" ht="15" customHeight="1" x14ac:dyDescent="0.25">
      <c r="N2643" s="44"/>
      <c r="O2643" s="44"/>
      <c r="P2643" s="44"/>
      <c r="Q2643" s="44"/>
      <c r="R2643" s="44"/>
      <c r="S2643" s="44"/>
      <c r="T2643" s="44"/>
      <c r="U2643" s="44"/>
      <c r="V2643" s="44"/>
      <c r="W2643" s="44"/>
      <c r="X2643" s="44"/>
      <c r="Y2643" s="44"/>
    </row>
    <row r="2644" spans="14:25" ht="15" customHeight="1" x14ac:dyDescent="0.25">
      <c r="N2644" s="44"/>
      <c r="O2644" s="44"/>
      <c r="P2644" s="44"/>
      <c r="Q2644" s="44"/>
      <c r="R2644" s="44"/>
      <c r="S2644" s="44"/>
      <c r="T2644" s="44"/>
      <c r="U2644" s="44"/>
      <c r="V2644" s="44"/>
      <c r="W2644" s="44"/>
      <c r="X2644" s="44"/>
      <c r="Y2644" s="44"/>
    </row>
    <row r="2645" spans="14:25" ht="15" customHeight="1" x14ac:dyDescent="0.25">
      <c r="N2645" s="44"/>
      <c r="O2645" s="44"/>
      <c r="P2645" s="44"/>
      <c r="Q2645" s="44"/>
      <c r="R2645" s="44"/>
      <c r="S2645" s="44"/>
      <c r="T2645" s="44"/>
      <c r="U2645" s="44"/>
      <c r="V2645" s="44"/>
      <c r="W2645" s="44"/>
      <c r="X2645" s="44"/>
      <c r="Y2645" s="44"/>
    </row>
    <row r="2646" spans="14:25" ht="15" customHeight="1" x14ac:dyDescent="0.25">
      <c r="N2646" s="44"/>
      <c r="O2646" s="44"/>
      <c r="P2646" s="44"/>
      <c r="Q2646" s="44"/>
      <c r="R2646" s="44"/>
      <c r="S2646" s="44"/>
      <c r="T2646" s="44"/>
      <c r="U2646" s="44"/>
      <c r="V2646" s="44"/>
      <c r="W2646" s="44"/>
      <c r="X2646" s="44"/>
      <c r="Y2646" s="44"/>
    </row>
    <row r="2647" spans="14:25" ht="15" customHeight="1" x14ac:dyDescent="0.25">
      <c r="N2647" s="44"/>
      <c r="O2647" s="44"/>
      <c r="P2647" s="44"/>
      <c r="Q2647" s="44"/>
      <c r="R2647" s="44"/>
      <c r="S2647" s="44"/>
      <c r="T2647" s="44"/>
      <c r="U2647" s="44"/>
      <c r="V2647" s="44"/>
      <c r="W2647" s="44"/>
      <c r="X2647" s="44"/>
      <c r="Y2647" s="44"/>
    </row>
    <row r="2648" spans="14:25" ht="15" customHeight="1" x14ac:dyDescent="0.25">
      <c r="N2648" s="44"/>
      <c r="O2648" s="44"/>
      <c r="P2648" s="44"/>
      <c r="Q2648" s="44"/>
      <c r="R2648" s="44"/>
      <c r="S2648" s="44"/>
      <c r="T2648" s="44"/>
      <c r="U2648" s="44"/>
      <c r="V2648" s="44"/>
      <c r="W2648" s="44"/>
      <c r="X2648" s="44"/>
      <c r="Y2648" s="44"/>
    </row>
    <row r="2649" spans="14:25" ht="15" customHeight="1" x14ac:dyDescent="0.25">
      <c r="N2649" s="44"/>
      <c r="O2649" s="44"/>
      <c r="P2649" s="44"/>
      <c r="Q2649" s="44"/>
      <c r="R2649" s="44"/>
      <c r="S2649" s="44"/>
      <c r="T2649" s="44"/>
      <c r="U2649" s="44"/>
      <c r="V2649" s="44"/>
      <c r="W2649" s="44"/>
      <c r="X2649" s="44"/>
      <c r="Y2649" s="44"/>
    </row>
    <row r="2650" spans="14:25" ht="15" customHeight="1" x14ac:dyDescent="0.25">
      <c r="N2650" s="44"/>
      <c r="O2650" s="44"/>
      <c r="P2650" s="44"/>
      <c r="Q2650" s="44"/>
      <c r="R2650" s="44"/>
      <c r="S2650" s="44"/>
      <c r="T2650" s="44"/>
      <c r="U2650" s="44"/>
      <c r="V2650" s="44"/>
      <c r="W2650" s="44"/>
      <c r="X2650" s="44"/>
      <c r="Y2650" s="44"/>
    </row>
    <row r="2651" spans="14:25" ht="15" customHeight="1" x14ac:dyDescent="0.25">
      <c r="N2651" s="44"/>
      <c r="O2651" s="44"/>
      <c r="P2651" s="44"/>
      <c r="Q2651" s="44"/>
      <c r="R2651" s="44"/>
      <c r="S2651" s="44"/>
      <c r="T2651" s="44"/>
      <c r="U2651" s="44"/>
      <c r="V2651" s="44"/>
      <c r="W2651" s="44"/>
      <c r="X2651" s="44"/>
      <c r="Y2651" s="44"/>
    </row>
    <row r="2652" spans="14:25" ht="15" customHeight="1" x14ac:dyDescent="0.25">
      <c r="N2652" s="44"/>
      <c r="O2652" s="44"/>
      <c r="P2652" s="44"/>
      <c r="Q2652" s="44"/>
      <c r="R2652" s="44"/>
      <c r="S2652" s="44"/>
      <c r="T2652" s="44"/>
      <c r="U2652" s="44"/>
      <c r="V2652" s="44"/>
      <c r="W2652" s="44"/>
      <c r="X2652" s="44"/>
      <c r="Y2652" s="44"/>
    </row>
    <row r="2653" spans="14:25" ht="15" customHeight="1" x14ac:dyDescent="0.25">
      <c r="N2653" s="44"/>
      <c r="O2653" s="44"/>
      <c r="P2653" s="44"/>
      <c r="Q2653" s="44"/>
      <c r="R2653" s="44"/>
      <c r="S2653" s="44"/>
      <c r="T2653" s="44"/>
      <c r="U2653" s="44"/>
      <c r="V2653" s="44"/>
      <c r="W2653" s="44"/>
      <c r="X2653" s="44"/>
      <c r="Y2653" s="44"/>
    </row>
    <row r="2654" spans="14:25" ht="15" customHeight="1" x14ac:dyDescent="0.25">
      <c r="N2654" s="44"/>
      <c r="O2654" s="44"/>
      <c r="P2654" s="44"/>
      <c r="Q2654" s="44"/>
      <c r="R2654" s="44"/>
      <c r="S2654" s="44"/>
      <c r="T2654" s="44"/>
      <c r="U2654" s="44"/>
      <c r="V2654" s="44"/>
      <c r="W2654" s="44"/>
      <c r="X2654" s="44"/>
      <c r="Y2654" s="44"/>
    </row>
    <row r="2655" spans="14:25" ht="15" customHeight="1" x14ac:dyDescent="0.25">
      <c r="N2655" s="44"/>
      <c r="O2655" s="44"/>
      <c r="P2655" s="44"/>
      <c r="Q2655" s="44"/>
      <c r="R2655" s="44"/>
      <c r="S2655" s="44"/>
      <c r="T2655" s="44"/>
      <c r="U2655" s="44"/>
      <c r="V2655" s="44"/>
      <c r="W2655" s="44"/>
      <c r="X2655" s="44"/>
      <c r="Y2655" s="44"/>
    </row>
    <row r="2656" spans="14:25" ht="15" customHeight="1" x14ac:dyDescent="0.25">
      <c r="N2656" s="44"/>
      <c r="O2656" s="44"/>
      <c r="P2656" s="44"/>
      <c r="Q2656" s="44"/>
      <c r="R2656" s="44"/>
      <c r="S2656" s="44"/>
      <c r="T2656" s="44"/>
      <c r="U2656" s="44"/>
      <c r="V2656" s="44"/>
      <c r="W2656" s="44"/>
      <c r="X2656" s="44"/>
      <c r="Y2656" s="44"/>
    </row>
    <row r="2657" spans="14:25" ht="15" customHeight="1" x14ac:dyDescent="0.25">
      <c r="N2657" s="44"/>
      <c r="O2657" s="44"/>
      <c r="P2657" s="44"/>
      <c r="Q2657" s="44"/>
      <c r="R2657" s="44"/>
      <c r="S2657" s="44"/>
      <c r="T2657" s="44"/>
      <c r="U2657" s="44"/>
      <c r="V2657" s="44"/>
      <c r="W2657" s="44"/>
      <c r="X2657" s="44"/>
      <c r="Y2657" s="44"/>
    </row>
    <row r="2658" spans="14:25" ht="15" customHeight="1" x14ac:dyDescent="0.25">
      <c r="N2658" s="44"/>
      <c r="O2658" s="44"/>
      <c r="P2658" s="44"/>
      <c r="Q2658" s="44"/>
      <c r="R2658" s="44"/>
      <c r="S2658" s="44"/>
      <c r="T2658" s="44"/>
      <c r="U2658" s="44"/>
      <c r="V2658" s="44"/>
      <c r="W2658" s="44"/>
      <c r="X2658" s="44"/>
      <c r="Y2658" s="44"/>
    </row>
    <row r="2659" spans="14:25" ht="15" customHeight="1" x14ac:dyDescent="0.25">
      <c r="N2659" s="44"/>
      <c r="O2659" s="44"/>
      <c r="P2659" s="44"/>
      <c r="Q2659" s="44"/>
      <c r="R2659" s="44"/>
      <c r="S2659" s="44"/>
      <c r="T2659" s="44"/>
      <c r="U2659" s="44"/>
      <c r="V2659" s="44"/>
      <c r="W2659" s="44"/>
      <c r="X2659" s="44"/>
      <c r="Y2659" s="44"/>
    </row>
    <row r="2660" spans="14:25" ht="15" customHeight="1" x14ac:dyDescent="0.25">
      <c r="N2660" s="44"/>
      <c r="O2660" s="44"/>
      <c r="P2660" s="44"/>
      <c r="Q2660" s="44"/>
      <c r="R2660" s="44"/>
      <c r="S2660" s="44"/>
      <c r="T2660" s="44"/>
      <c r="U2660" s="44"/>
      <c r="V2660" s="44"/>
      <c r="W2660" s="44"/>
      <c r="X2660" s="44"/>
      <c r="Y2660" s="44"/>
    </row>
    <row r="2661" spans="14:25" ht="15" customHeight="1" x14ac:dyDescent="0.25">
      <c r="N2661" s="44"/>
      <c r="O2661" s="44"/>
      <c r="P2661" s="44"/>
      <c r="Q2661" s="44"/>
      <c r="R2661" s="44"/>
      <c r="S2661" s="44"/>
      <c r="T2661" s="44"/>
      <c r="U2661" s="44"/>
      <c r="V2661" s="44"/>
      <c r="W2661" s="44"/>
      <c r="X2661" s="44"/>
      <c r="Y2661" s="44"/>
    </row>
    <row r="2662" spans="14:25" ht="15" customHeight="1" x14ac:dyDescent="0.25">
      <c r="N2662" s="44"/>
      <c r="O2662" s="44"/>
      <c r="P2662" s="44"/>
      <c r="Q2662" s="44"/>
      <c r="R2662" s="44"/>
      <c r="S2662" s="44"/>
      <c r="T2662" s="44"/>
      <c r="U2662" s="44"/>
      <c r="V2662" s="44"/>
      <c r="W2662" s="44"/>
      <c r="X2662" s="44"/>
      <c r="Y2662" s="44"/>
    </row>
    <row r="2663" spans="14:25" ht="15" customHeight="1" x14ac:dyDescent="0.25">
      <c r="N2663" s="44"/>
      <c r="O2663" s="44"/>
      <c r="P2663" s="44"/>
      <c r="Q2663" s="44"/>
      <c r="R2663" s="44"/>
      <c r="S2663" s="44"/>
      <c r="T2663" s="44"/>
      <c r="U2663" s="44"/>
      <c r="V2663" s="44"/>
      <c r="W2663" s="44"/>
      <c r="X2663" s="44"/>
      <c r="Y2663" s="44"/>
    </row>
    <row r="2664" spans="14:25" ht="15" customHeight="1" x14ac:dyDescent="0.25">
      <c r="N2664" s="44"/>
      <c r="O2664" s="44"/>
      <c r="P2664" s="44"/>
      <c r="Q2664" s="44"/>
      <c r="R2664" s="44"/>
      <c r="S2664" s="44"/>
      <c r="T2664" s="44"/>
      <c r="U2664" s="44"/>
      <c r="V2664" s="44"/>
      <c r="W2664" s="44"/>
      <c r="X2664" s="44"/>
      <c r="Y2664" s="44"/>
    </row>
    <row r="2665" spans="14:25" ht="15" customHeight="1" x14ac:dyDescent="0.25">
      <c r="N2665" s="44"/>
      <c r="O2665" s="44"/>
      <c r="P2665" s="44"/>
      <c r="Q2665" s="44"/>
      <c r="R2665" s="44"/>
      <c r="S2665" s="44"/>
      <c r="T2665" s="44"/>
      <c r="U2665" s="44"/>
      <c r="V2665" s="44"/>
      <c r="W2665" s="44"/>
      <c r="X2665" s="44"/>
      <c r="Y2665" s="44"/>
    </row>
    <row r="2666" spans="14:25" ht="15" customHeight="1" x14ac:dyDescent="0.25">
      <c r="N2666" s="44"/>
      <c r="O2666" s="44"/>
      <c r="P2666" s="44"/>
      <c r="Q2666" s="44"/>
      <c r="R2666" s="44"/>
      <c r="S2666" s="44"/>
      <c r="T2666" s="44"/>
      <c r="U2666" s="44"/>
      <c r="V2666" s="44"/>
      <c r="W2666" s="44"/>
      <c r="X2666" s="44"/>
      <c r="Y2666" s="44"/>
    </row>
    <row r="2667" spans="14:25" ht="15" customHeight="1" x14ac:dyDescent="0.25">
      <c r="N2667" s="44"/>
      <c r="O2667" s="44"/>
      <c r="P2667" s="44"/>
      <c r="Q2667" s="44"/>
      <c r="R2667" s="44"/>
      <c r="S2667" s="44"/>
      <c r="T2667" s="44"/>
      <c r="U2667" s="44"/>
      <c r="V2667" s="44"/>
      <c r="W2667" s="44"/>
      <c r="X2667" s="44"/>
      <c r="Y2667" s="44"/>
    </row>
    <row r="2668" spans="14:25" ht="15" customHeight="1" x14ac:dyDescent="0.25">
      <c r="N2668" s="44"/>
      <c r="O2668" s="44"/>
      <c r="P2668" s="44"/>
      <c r="Q2668" s="44"/>
      <c r="R2668" s="44"/>
      <c r="S2668" s="44"/>
      <c r="T2668" s="44"/>
      <c r="U2668" s="44"/>
      <c r="V2668" s="44"/>
      <c r="W2668" s="44"/>
      <c r="X2668" s="44"/>
      <c r="Y2668" s="44"/>
    </row>
    <row r="2669" spans="14:25" ht="15" customHeight="1" x14ac:dyDescent="0.25">
      <c r="N2669" s="44"/>
      <c r="O2669" s="44"/>
      <c r="P2669" s="44"/>
      <c r="Q2669" s="44"/>
      <c r="R2669" s="44"/>
      <c r="S2669" s="44"/>
      <c r="T2669" s="44"/>
      <c r="U2669" s="44"/>
      <c r="V2669" s="44"/>
      <c r="W2669" s="44"/>
      <c r="X2669" s="44"/>
      <c r="Y2669" s="44"/>
    </row>
    <row r="2670" spans="14:25" ht="15" customHeight="1" x14ac:dyDescent="0.25">
      <c r="N2670" s="44"/>
      <c r="O2670" s="44"/>
      <c r="P2670" s="44"/>
      <c r="Q2670" s="44"/>
      <c r="R2670" s="44"/>
      <c r="S2670" s="44"/>
      <c r="T2670" s="44"/>
      <c r="U2670" s="44"/>
      <c r="V2670" s="44"/>
      <c r="W2670" s="44"/>
      <c r="X2670" s="44"/>
      <c r="Y2670" s="44"/>
    </row>
    <row r="2671" spans="14:25" ht="15" customHeight="1" x14ac:dyDescent="0.25">
      <c r="N2671" s="44"/>
      <c r="O2671" s="44"/>
      <c r="P2671" s="44"/>
      <c r="Q2671" s="44"/>
      <c r="R2671" s="44"/>
      <c r="S2671" s="44"/>
      <c r="T2671" s="44"/>
      <c r="U2671" s="44"/>
      <c r="V2671" s="44"/>
      <c r="W2671" s="44"/>
      <c r="X2671" s="44"/>
      <c r="Y2671" s="44"/>
    </row>
    <row r="2672" spans="14:25" ht="15" customHeight="1" x14ac:dyDescent="0.25">
      <c r="N2672" s="44"/>
      <c r="O2672" s="44"/>
      <c r="P2672" s="44"/>
      <c r="Q2672" s="44"/>
      <c r="R2672" s="44"/>
      <c r="S2672" s="44"/>
      <c r="T2672" s="44"/>
      <c r="U2672" s="44"/>
      <c r="V2672" s="44"/>
      <c r="W2672" s="44"/>
      <c r="X2672" s="44"/>
      <c r="Y2672" s="44"/>
    </row>
    <row r="2673" spans="14:25" ht="15" customHeight="1" x14ac:dyDescent="0.25">
      <c r="N2673" s="44"/>
      <c r="O2673" s="44"/>
      <c r="P2673" s="44"/>
      <c r="Q2673" s="44"/>
      <c r="R2673" s="44"/>
      <c r="S2673" s="44"/>
      <c r="T2673" s="44"/>
      <c r="U2673" s="44"/>
      <c r="V2673" s="44"/>
      <c r="W2673" s="44"/>
      <c r="X2673" s="44"/>
      <c r="Y2673" s="44"/>
    </row>
    <row r="2674" spans="14:25" ht="15" customHeight="1" x14ac:dyDescent="0.25">
      <c r="N2674" s="44"/>
      <c r="O2674" s="44"/>
      <c r="P2674" s="44"/>
      <c r="Q2674" s="44"/>
      <c r="R2674" s="44"/>
      <c r="S2674" s="44"/>
      <c r="T2674" s="44"/>
      <c r="U2674" s="44"/>
      <c r="V2674" s="44"/>
      <c r="W2674" s="44"/>
      <c r="X2674" s="44"/>
      <c r="Y2674" s="44"/>
    </row>
    <row r="2675" spans="14:25" ht="15" customHeight="1" x14ac:dyDescent="0.25">
      <c r="N2675" s="44"/>
      <c r="O2675" s="44"/>
      <c r="P2675" s="44"/>
      <c r="Q2675" s="44"/>
      <c r="R2675" s="44"/>
      <c r="S2675" s="44"/>
      <c r="T2675" s="44"/>
      <c r="U2675" s="44"/>
      <c r="V2675" s="44"/>
      <c r="W2675" s="44"/>
      <c r="X2675" s="44"/>
      <c r="Y2675" s="44"/>
    </row>
    <row r="2676" spans="14:25" ht="15" customHeight="1" x14ac:dyDescent="0.25">
      <c r="N2676" s="44"/>
      <c r="O2676" s="44"/>
      <c r="P2676" s="44"/>
      <c r="Q2676" s="44"/>
      <c r="R2676" s="44"/>
      <c r="S2676" s="44"/>
      <c r="T2676" s="44"/>
      <c r="U2676" s="44"/>
      <c r="V2676" s="44"/>
      <c r="W2676" s="44"/>
      <c r="X2676" s="44"/>
      <c r="Y2676" s="44"/>
    </row>
    <row r="2677" spans="14:25" ht="15" customHeight="1" x14ac:dyDescent="0.25">
      <c r="N2677" s="44"/>
      <c r="O2677" s="44"/>
      <c r="P2677" s="44"/>
      <c r="Q2677" s="44"/>
      <c r="R2677" s="44"/>
      <c r="S2677" s="44"/>
      <c r="T2677" s="44"/>
      <c r="U2677" s="44"/>
      <c r="V2677" s="44"/>
      <c r="W2677" s="44"/>
      <c r="X2677" s="44"/>
      <c r="Y2677" s="44"/>
    </row>
    <row r="2678" spans="14:25" ht="15" customHeight="1" x14ac:dyDescent="0.25">
      <c r="N2678" s="44"/>
      <c r="O2678" s="44"/>
      <c r="P2678" s="44"/>
      <c r="Q2678" s="44"/>
      <c r="R2678" s="44"/>
      <c r="S2678" s="44"/>
      <c r="T2678" s="44"/>
      <c r="U2678" s="44"/>
      <c r="V2678" s="44"/>
      <c r="W2678" s="44"/>
      <c r="X2678" s="44"/>
      <c r="Y2678" s="44"/>
    </row>
    <row r="2679" spans="14:25" ht="15" customHeight="1" x14ac:dyDescent="0.25">
      <c r="N2679" s="44"/>
      <c r="O2679" s="44"/>
      <c r="P2679" s="44"/>
      <c r="Q2679" s="44"/>
      <c r="R2679" s="44"/>
      <c r="S2679" s="44"/>
      <c r="T2679" s="44"/>
      <c r="U2679" s="44"/>
      <c r="V2679" s="44"/>
      <c r="W2679" s="44"/>
      <c r="X2679" s="44"/>
      <c r="Y2679" s="44"/>
    </row>
    <row r="2680" spans="14:25" ht="15" customHeight="1" x14ac:dyDescent="0.25">
      <c r="N2680" s="44"/>
      <c r="O2680" s="44"/>
      <c r="P2680" s="44"/>
      <c r="Q2680" s="44"/>
      <c r="R2680" s="44"/>
      <c r="S2680" s="44"/>
      <c r="T2680" s="44"/>
      <c r="U2680" s="44"/>
      <c r="V2680" s="44"/>
      <c r="W2680" s="44"/>
      <c r="X2680" s="44"/>
      <c r="Y2680" s="44"/>
    </row>
    <row r="2681" spans="14:25" ht="15" customHeight="1" x14ac:dyDescent="0.25">
      <c r="N2681" s="44"/>
      <c r="O2681" s="44"/>
      <c r="P2681" s="44"/>
      <c r="Q2681" s="44"/>
      <c r="R2681" s="44"/>
      <c r="S2681" s="44"/>
      <c r="T2681" s="44"/>
      <c r="U2681" s="44"/>
      <c r="V2681" s="44"/>
      <c r="W2681" s="44"/>
      <c r="X2681" s="44"/>
      <c r="Y2681" s="44"/>
    </row>
    <row r="2682" spans="14:25" ht="15" customHeight="1" x14ac:dyDescent="0.25">
      <c r="N2682" s="44"/>
      <c r="O2682" s="44"/>
      <c r="P2682" s="44"/>
      <c r="Q2682" s="44"/>
      <c r="R2682" s="44"/>
      <c r="S2682" s="44"/>
      <c r="T2682" s="44"/>
      <c r="U2682" s="44"/>
      <c r="V2682" s="44"/>
      <c r="W2682" s="44"/>
      <c r="X2682" s="44"/>
      <c r="Y2682" s="44"/>
    </row>
    <row r="2683" spans="14:25" ht="15" customHeight="1" x14ac:dyDescent="0.25">
      <c r="N2683" s="44"/>
      <c r="O2683" s="44"/>
      <c r="P2683" s="44"/>
      <c r="Q2683" s="44"/>
      <c r="R2683" s="44"/>
      <c r="S2683" s="44"/>
      <c r="T2683" s="44"/>
      <c r="U2683" s="44"/>
      <c r="V2683" s="44"/>
      <c r="W2683" s="44"/>
      <c r="X2683" s="44"/>
      <c r="Y2683" s="44"/>
    </row>
    <row r="2684" spans="14:25" ht="15" customHeight="1" x14ac:dyDescent="0.25">
      <c r="N2684" s="44"/>
      <c r="O2684" s="44"/>
      <c r="P2684" s="44"/>
      <c r="Q2684" s="44"/>
      <c r="R2684" s="44"/>
      <c r="S2684" s="44"/>
      <c r="T2684" s="44"/>
      <c r="U2684" s="44"/>
      <c r="V2684" s="44"/>
      <c r="W2684" s="44"/>
      <c r="X2684" s="44"/>
      <c r="Y2684" s="44"/>
    </row>
    <row r="2685" spans="14:25" ht="15" customHeight="1" x14ac:dyDescent="0.25">
      <c r="N2685" s="44"/>
      <c r="O2685" s="44"/>
      <c r="P2685" s="44"/>
      <c r="Q2685" s="44"/>
      <c r="R2685" s="44"/>
      <c r="S2685" s="44"/>
      <c r="T2685" s="44"/>
      <c r="U2685" s="44"/>
      <c r="V2685" s="44"/>
      <c r="W2685" s="44"/>
      <c r="X2685" s="44"/>
      <c r="Y2685" s="44"/>
    </row>
    <row r="2686" spans="14:25" ht="15" customHeight="1" x14ac:dyDescent="0.25">
      <c r="N2686" s="44"/>
      <c r="O2686" s="44"/>
      <c r="P2686" s="44"/>
      <c r="Q2686" s="44"/>
      <c r="R2686" s="44"/>
      <c r="S2686" s="44"/>
      <c r="T2686" s="44"/>
      <c r="U2686" s="44"/>
      <c r="V2686" s="44"/>
      <c r="W2686" s="44"/>
      <c r="X2686" s="44"/>
      <c r="Y2686" s="44"/>
    </row>
    <row r="2687" spans="14:25" ht="15" customHeight="1" x14ac:dyDescent="0.25">
      <c r="N2687" s="44"/>
      <c r="O2687" s="44"/>
      <c r="P2687" s="44"/>
      <c r="Q2687" s="44"/>
      <c r="R2687" s="44"/>
      <c r="S2687" s="44"/>
      <c r="T2687" s="44"/>
      <c r="U2687" s="44"/>
      <c r="V2687" s="44"/>
      <c r="W2687" s="44"/>
      <c r="X2687" s="44"/>
      <c r="Y2687" s="44"/>
    </row>
    <row r="2688" spans="14:25" ht="15" customHeight="1" x14ac:dyDescent="0.25">
      <c r="N2688" s="44"/>
      <c r="O2688" s="44"/>
      <c r="P2688" s="44"/>
      <c r="Q2688" s="44"/>
      <c r="R2688" s="44"/>
      <c r="S2688" s="44"/>
      <c r="T2688" s="44"/>
      <c r="U2688" s="44"/>
      <c r="V2688" s="44"/>
      <c r="W2688" s="44"/>
      <c r="X2688" s="44"/>
      <c r="Y2688" s="44"/>
    </row>
    <row r="2689" spans="14:25" ht="15" customHeight="1" x14ac:dyDescent="0.25">
      <c r="N2689" s="44"/>
      <c r="O2689" s="44"/>
      <c r="P2689" s="44"/>
      <c r="Q2689" s="44"/>
      <c r="R2689" s="44"/>
      <c r="S2689" s="44"/>
      <c r="T2689" s="44"/>
      <c r="U2689" s="44"/>
      <c r="V2689" s="44"/>
      <c r="W2689" s="44"/>
      <c r="X2689" s="44"/>
      <c r="Y2689" s="44"/>
    </row>
    <row r="2690" spans="14:25" ht="15" customHeight="1" x14ac:dyDescent="0.25">
      <c r="N2690" s="44"/>
      <c r="O2690" s="44"/>
      <c r="P2690" s="44"/>
      <c r="Q2690" s="44"/>
      <c r="R2690" s="44"/>
      <c r="S2690" s="44"/>
      <c r="T2690" s="44"/>
      <c r="U2690" s="44"/>
      <c r="V2690" s="44"/>
      <c r="W2690" s="44"/>
      <c r="X2690" s="44"/>
      <c r="Y2690" s="44"/>
    </row>
    <row r="2691" spans="14:25" ht="15" customHeight="1" x14ac:dyDescent="0.25">
      <c r="N2691" s="44"/>
      <c r="O2691" s="44"/>
      <c r="P2691" s="44"/>
      <c r="Q2691" s="44"/>
      <c r="R2691" s="44"/>
      <c r="S2691" s="44"/>
      <c r="T2691" s="44"/>
      <c r="U2691" s="44"/>
      <c r="V2691" s="44"/>
      <c r="W2691" s="44"/>
      <c r="X2691" s="44"/>
      <c r="Y2691" s="44"/>
    </row>
    <row r="2692" spans="14:25" ht="15" customHeight="1" x14ac:dyDescent="0.25">
      <c r="N2692" s="44"/>
      <c r="O2692" s="44"/>
      <c r="P2692" s="44"/>
      <c r="Q2692" s="44"/>
      <c r="R2692" s="44"/>
      <c r="S2692" s="44"/>
      <c r="T2692" s="44"/>
      <c r="U2692" s="44"/>
      <c r="V2692" s="44"/>
      <c r="W2692" s="44"/>
      <c r="X2692" s="44"/>
      <c r="Y2692" s="44"/>
    </row>
    <row r="2693" spans="14:25" ht="15" customHeight="1" x14ac:dyDescent="0.25">
      <c r="N2693" s="44"/>
      <c r="O2693" s="44"/>
      <c r="P2693" s="44"/>
      <c r="Q2693" s="44"/>
      <c r="R2693" s="44"/>
      <c r="S2693" s="44"/>
      <c r="T2693" s="44"/>
      <c r="U2693" s="44"/>
      <c r="V2693" s="44"/>
      <c r="W2693" s="44"/>
      <c r="X2693" s="44"/>
      <c r="Y2693" s="44"/>
    </row>
    <row r="2694" spans="14:25" ht="15" customHeight="1" x14ac:dyDescent="0.25">
      <c r="N2694" s="44"/>
      <c r="O2694" s="44"/>
      <c r="P2694" s="44"/>
      <c r="Q2694" s="44"/>
      <c r="R2694" s="44"/>
      <c r="S2694" s="44"/>
      <c r="T2694" s="44"/>
      <c r="U2694" s="44"/>
      <c r="V2694" s="44"/>
      <c r="W2694" s="44"/>
      <c r="X2694" s="44"/>
      <c r="Y2694" s="44"/>
    </row>
    <row r="2695" spans="14:25" ht="15" customHeight="1" x14ac:dyDescent="0.25">
      <c r="N2695" s="44"/>
      <c r="O2695" s="44"/>
      <c r="P2695" s="44"/>
      <c r="Q2695" s="44"/>
      <c r="R2695" s="44"/>
      <c r="S2695" s="44"/>
      <c r="T2695" s="44"/>
      <c r="U2695" s="44"/>
      <c r="V2695" s="44"/>
      <c r="W2695" s="44"/>
      <c r="X2695" s="44"/>
      <c r="Y2695" s="44"/>
    </row>
    <row r="2696" spans="14:25" ht="15" customHeight="1" x14ac:dyDescent="0.25">
      <c r="N2696" s="44"/>
      <c r="O2696" s="44"/>
      <c r="P2696" s="44"/>
      <c r="Q2696" s="44"/>
      <c r="R2696" s="44"/>
      <c r="S2696" s="44"/>
      <c r="T2696" s="44"/>
      <c r="U2696" s="44"/>
      <c r="V2696" s="44"/>
      <c r="W2696" s="44"/>
      <c r="X2696" s="44"/>
      <c r="Y2696" s="44"/>
    </row>
    <row r="2697" spans="14:25" ht="15" customHeight="1" x14ac:dyDescent="0.25">
      <c r="N2697" s="44"/>
      <c r="O2697" s="44"/>
      <c r="P2697" s="44"/>
      <c r="Q2697" s="44"/>
      <c r="R2697" s="44"/>
      <c r="S2697" s="44"/>
      <c r="T2697" s="44"/>
      <c r="U2697" s="44"/>
      <c r="V2697" s="44"/>
      <c r="W2697" s="44"/>
      <c r="X2697" s="44"/>
      <c r="Y2697" s="44"/>
    </row>
    <row r="2698" spans="14:25" ht="15" customHeight="1" x14ac:dyDescent="0.25">
      <c r="N2698" s="44"/>
      <c r="O2698" s="44"/>
      <c r="P2698" s="44"/>
      <c r="Q2698" s="44"/>
      <c r="R2698" s="44"/>
      <c r="S2698" s="44"/>
      <c r="T2698" s="44"/>
      <c r="U2698" s="44"/>
      <c r="V2698" s="44"/>
      <c r="W2698" s="44"/>
      <c r="X2698" s="44"/>
      <c r="Y2698" s="44"/>
    </row>
    <row r="2699" spans="14:25" ht="15" customHeight="1" x14ac:dyDescent="0.25">
      <c r="N2699" s="44"/>
      <c r="O2699" s="44"/>
      <c r="P2699" s="44"/>
      <c r="Q2699" s="44"/>
      <c r="R2699" s="44"/>
      <c r="S2699" s="44"/>
      <c r="T2699" s="44"/>
      <c r="U2699" s="44"/>
      <c r="V2699" s="44"/>
      <c r="W2699" s="44"/>
      <c r="X2699" s="44"/>
      <c r="Y2699" s="44"/>
    </row>
    <row r="2700" spans="14:25" ht="15" customHeight="1" x14ac:dyDescent="0.25">
      <c r="N2700" s="44"/>
      <c r="O2700" s="44"/>
      <c r="P2700" s="44"/>
      <c r="Q2700" s="44"/>
      <c r="R2700" s="44"/>
      <c r="S2700" s="44"/>
      <c r="T2700" s="44"/>
      <c r="U2700" s="44"/>
      <c r="V2700" s="44"/>
      <c r="W2700" s="44"/>
      <c r="X2700" s="44"/>
      <c r="Y2700" s="44"/>
    </row>
    <row r="2701" spans="14:25" ht="15" customHeight="1" x14ac:dyDescent="0.25">
      <c r="N2701" s="44"/>
      <c r="O2701" s="44"/>
      <c r="P2701" s="44"/>
      <c r="Q2701" s="44"/>
      <c r="R2701" s="44"/>
      <c r="S2701" s="44"/>
      <c r="T2701" s="44"/>
      <c r="U2701" s="44"/>
      <c r="V2701" s="44"/>
      <c r="W2701" s="44"/>
      <c r="X2701" s="44"/>
      <c r="Y2701" s="44"/>
    </row>
    <row r="2702" spans="14:25" ht="15" customHeight="1" x14ac:dyDescent="0.25">
      <c r="N2702" s="44"/>
      <c r="O2702" s="44"/>
      <c r="P2702" s="44"/>
      <c r="Q2702" s="44"/>
      <c r="R2702" s="44"/>
      <c r="S2702" s="44"/>
      <c r="T2702" s="44"/>
      <c r="U2702" s="44"/>
      <c r="V2702" s="44"/>
      <c r="W2702" s="44"/>
      <c r="X2702" s="44"/>
      <c r="Y2702" s="44"/>
    </row>
    <row r="2703" spans="14:25" ht="15" customHeight="1" x14ac:dyDescent="0.25">
      <c r="N2703" s="44"/>
      <c r="O2703" s="44"/>
      <c r="P2703" s="44"/>
      <c r="Q2703" s="44"/>
      <c r="R2703" s="44"/>
      <c r="S2703" s="44"/>
      <c r="T2703" s="44"/>
      <c r="U2703" s="44"/>
      <c r="V2703" s="44"/>
      <c r="W2703" s="44"/>
      <c r="X2703" s="44"/>
      <c r="Y2703" s="44"/>
    </row>
    <row r="2704" spans="14:25" ht="15" customHeight="1" x14ac:dyDescent="0.25">
      <c r="N2704" s="44"/>
      <c r="O2704" s="44"/>
      <c r="P2704" s="44"/>
      <c r="Q2704" s="44"/>
      <c r="R2704" s="44"/>
      <c r="S2704" s="44"/>
      <c r="T2704" s="44"/>
      <c r="U2704" s="44"/>
      <c r="V2704" s="44"/>
      <c r="W2704" s="44"/>
      <c r="X2704" s="44"/>
      <c r="Y2704" s="44"/>
    </row>
    <row r="2705" spans="14:25" ht="15" customHeight="1" x14ac:dyDescent="0.25">
      <c r="N2705" s="44"/>
      <c r="O2705" s="44"/>
      <c r="P2705" s="44"/>
      <c r="Q2705" s="44"/>
      <c r="R2705" s="44"/>
      <c r="S2705" s="44"/>
      <c r="T2705" s="44"/>
      <c r="U2705" s="44"/>
      <c r="V2705" s="44"/>
      <c r="W2705" s="44"/>
      <c r="X2705" s="44"/>
      <c r="Y2705" s="44"/>
    </row>
    <row r="2706" spans="14:25" ht="15" customHeight="1" x14ac:dyDescent="0.25">
      <c r="N2706" s="44"/>
      <c r="O2706" s="44"/>
      <c r="P2706" s="44"/>
      <c r="Q2706" s="44"/>
      <c r="R2706" s="44"/>
      <c r="S2706" s="44"/>
      <c r="T2706" s="44"/>
      <c r="U2706" s="44"/>
      <c r="V2706" s="44"/>
      <c r="W2706" s="44"/>
      <c r="X2706" s="44"/>
      <c r="Y2706" s="44"/>
    </row>
    <row r="2707" spans="14:25" ht="15" customHeight="1" x14ac:dyDescent="0.25">
      <c r="N2707" s="44"/>
      <c r="O2707" s="44"/>
      <c r="P2707" s="44"/>
      <c r="Q2707" s="44"/>
      <c r="R2707" s="44"/>
      <c r="S2707" s="44"/>
      <c r="T2707" s="44"/>
      <c r="U2707" s="44"/>
      <c r="V2707" s="44"/>
      <c r="W2707" s="44"/>
      <c r="X2707" s="44"/>
      <c r="Y2707" s="44"/>
    </row>
    <row r="2708" spans="14:25" ht="15" customHeight="1" x14ac:dyDescent="0.25">
      <c r="N2708" s="44"/>
      <c r="O2708" s="44"/>
      <c r="P2708" s="44"/>
      <c r="Q2708" s="44"/>
      <c r="R2708" s="44"/>
      <c r="S2708" s="44"/>
      <c r="T2708" s="44"/>
      <c r="U2708" s="44"/>
      <c r="V2708" s="44"/>
      <c r="W2708" s="44"/>
      <c r="X2708" s="44"/>
      <c r="Y2708" s="44"/>
    </row>
    <row r="2709" spans="14:25" ht="15" customHeight="1" x14ac:dyDescent="0.25">
      <c r="N2709" s="44"/>
      <c r="O2709" s="44"/>
      <c r="P2709" s="44"/>
      <c r="Q2709" s="44"/>
      <c r="R2709" s="44"/>
      <c r="S2709" s="44"/>
      <c r="T2709" s="44"/>
      <c r="U2709" s="44"/>
      <c r="V2709" s="44"/>
      <c r="W2709" s="44"/>
      <c r="X2709" s="44"/>
      <c r="Y2709" s="44"/>
    </row>
    <row r="2710" spans="14:25" ht="15" customHeight="1" x14ac:dyDescent="0.25">
      <c r="N2710" s="44"/>
      <c r="O2710" s="44"/>
      <c r="P2710" s="44"/>
      <c r="Q2710" s="44"/>
      <c r="R2710" s="44"/>
      <c r="S2710" s="44"/>
      <c r="T2710" s="44"/>
      <c r="U2710" s="44"/>
      <c r="V2710" s="44"/>
      <c r="W2710" s="44"/>
      <c r="X2710" s="44"/>
      <c r="Y2710" s="44"/>
    </row>
    <row r="2711" spans="14:25" ht="15" customHeight="1" x14ac:dyDescent="0.25">
      <c r="N2711" s="44"/>
      <c r="O2711" s="44"/>
      <c r="P2711" s="44"/>
      <c r="Q2711" s="44"/>
      <c r="R2711" s="44"/>
      <c r="S2711" s="44"/>
      <c r="T2711" s="44"/>
      <c r="U2711" s="44"/>
      <c r="V2711" s="44"/>
      <c r="W2711" s="44"/>
      <c r="X2711" s="44"/>
      <c r="Y2711" s="44"/>
    </row>
    <row r="2712" spans="14:25" ht="15" customHeight="1" x14ac:dyDescent="0.25">
      <c r="N2712" s="44"/>
      <c r="O2712" s="44"/>
      <c r="P2712" s="44"/>
      <c r="Q2712" s="44"/>
      <c r="R2712" s="44"/>
      <c r="S2712" s="44"/>
      <c r="T2712" s="44"/>
      <c r="U2712" s="44"/>
      <c r="V2712" s="44"/>
      <c r="W2712" s="44"/>
      <c r="X2712" s="44"/>
      <c r="Y2712" s="44"/>
    </row>
    <row r="2713" spans="14:25" ht="15" customHeight="1" x14ac:dyDescent="0.25">
      <c r="N2713" s="44"/>
      <c r="O2713" s="44"/>
      <c r="P2713" s="44"/>
      <c r="Q2713" s="44"/>
      <c r="R2713" s="44"/>
      <c r="S2713" s="44"/>
      <c r="T2713" s="44"/>
      <c r="U2713" s="44"/>
      <c r="V2713" s="44"/>
      <c r="W2713" s="44"/>
      <c r="X2713" s="44"/>
      <c r="Y2713" s="44"/>
    </row>
    <row r="2714" spans="14:25" ht="15" customHeight="1" x14ac:dyDescent="0.25">
      <c r="N2714" s="44"/>
      <c r="O2714" s="44"/>
      <c r="P2714" s="44"/>
      <c r="Q2714" s="44"/>
      <c r="R2714" s="44"/>
      <c r="S2714" s="44"/>
      <c r="T2714" s="44"/>
      <c r="U2714" s="44"/>
      <c r="V2714" s="44"/>
      <c r="W2714" s="44"/>
      <c r="X2714" s="44"/>
      <c r="Y2714" s="44"/>
    </row>
    <row r="2715" spans="14:25" ht="15" customHeight="1" x14ac:dyDescent="0.25">
      <c r="N2715" s="44"/>
      <c r="O2715" s="44"/>
      <c r="P2715" s="44"/>
      <c r="Q2715" s="44"/>
      <c r="R2715" s="44"/>
      <c r="S2715" s="44"/>
      <c r="T2715" s="44"/>
      <c r="U2715" s="44"/>
      <c r="V2715" s="44"/>
      <c r="W2715" s="44"/>
      <c r="X2715" s="44"/>
      <c r="Y2715" s="44"/>
    </row>
    <row r="2716" spans="14:25" ht="15" customHeight="1" x14ac:dyDescent="0.25">
      <c r="N2716" s="44"/>
      <c r="O2716" s="44"/>
      <c r="P2716" s="44"/>
      <c r="Q2716" s="44"/>
      <c r="R2716" s="44"/>
      <c r="S2716" s="44"/>
      <c r="T2716" s="44"/>
      <c r="U2716" s="44"/>
      <c r="V2716" s="44"/>
      <c r="W2716" s="44"/>
      <c r="X2716" s="44"/>
      <c r="Y2716" s="44"/>
    </row>
    <row r="2717" spans="14:25" ht="15" customHeight="1" x14ac:dyDescent="0.25">
      <c r="N2717" s="44"/>
      <c r="O2717" s="44"/>
      <c r="P2717" s="44"/>
      <c r="Q2717" s="44"/>
      <c r="R2717" s="44"/>
      <c r="S2717" s="44"/>
      <c r="T2717" s="44"/>
      <c r="U2717" s="44"/>
      <c r="V2717" s="44"/>
      <c r="W2717" s="44"/>
      <c r="X2717" s="44"/>
      <c r="Y2717" s="44"/>
    </row>
    <row r="2718" spans="14:25" ht="15" customHeight="1" x14ac:dyDescent="0.25">
      <c r="N2718" s="44"/>
      <c r="O2718" s="44"/>
      <c r="P2718" s="44"/>
      <c r="Q2718" s="44"/>
      <c r="R2718" s="44"/>
      <c r="S2718" s="44"/>
      <c r="T2718" s="44"/>
      <c r="U2718" s="44"/>
      <c r="V2718" s="44"/>
      <c r="W2718" s="44"/>
      <c r="X2718" s="44"/>
      <c r="Y2718" s="44"/>
    </row>
    <row r="2719" spans="14:25" ht="15" customHeight="1" x14ac:dyDescent="0.25">
      <c r="N2719" s="44"/>
      <c r="O2719" s="44"/>
      <c r="P2719" s="44"/>
      <c r="Q2719" s="44"/>
      <c r="R2719" s="44"/>
      <c r="S2719" s="44"/>
      <c r="T2719" s="44"/>
      <c r="U2719" s="44"/>
      <c r="V2719" s="44"/>
      <c r="W2719" s="44"/>
      <c r="X2719" s="44"/>
      <c r="Y2719" s="44"/>
    </row>
    <row r="2720" spans="14:25" ht="15" customHeight="1" x14ac:dyDescent="0.25">
      <c r="N2720" s="44"/>
      <c r="O2720" s="44"/>
      <c r="P2720" s="44"/>
      <c r="Q2720" s="44"/>
      <c r="R2720" s="44"/>
      <c r="S2720" s="44"/>
      <c r="T2720" s="44"/>
      <c r="U2720" s="44"/>
      <c r="V2720" s="44"/>
      <c r="W2720" s="44"/>
      <c r="X2720" s="44"/>
      <c r="Y2720" s="44"/>
    </row>
    <row r="2721" spans="14:25" ht="15" customHeight="1" x14ac:dyDescent="0.25">
      <c r="N2721" s="44"/>
      <c r="O2721" s="44"/>
      <c r="P2721" s="44"/>
      <c r="Q2721" s="44"/>
      <c r="R2721" s="44"/>
      <c r="S2721" s="44"/>
      <c r="T2721" s="44"/>
      <c r="U2721" s="44"/>
      <c r="V2721" s="44"/>
      <c r="W2721" s="44"/>
      <c r="X2721" s="44"/>
      <c r="Y2721" s="44"/>
    </row>
    <row r="2722" spans="14:25" ht="15" customHeight="1" x14ac:dyDescent="0.25">
      <c r="N2722" s="44"/>
      <c r="O2722" s="44"/>
      <c r="P2722" s="44"/>
      <c r="Q2722" s="44"/>
      <c r="R2722" s="44"/>
      <c r="S2722" s="44"/>
      <c r="T2722" s="44"/>
      <c r="U2722" s="44"/>
      <c r="V2722" s="44"/>
      <c r="W2722" s="44"/>
      <c r="X2722" s="44"/>
      <c r="Y2722" s="44"/>
    </row>
    <row r="2723" spans="14:25" ht="15" customHeight="1" x14ac:dyDescent="0.25">
      <c r="N2723" s="44"/>
      <c r="O2723" s="44"/>
      <c r="P2723" s="44"/>
      <c r="Q2723" s="44"/>
      <c r="R2723" s="44"/>
      <c r="S2723" s="44"/>
      <c r="T2723" s="44"/>
      <c r="U2723" s="44"/>
      <c r="V2723" s="44"/>
      <c r="W2723" s="44"/>
      <c r="X2723" s="44"/>
      <c r="Y2723" s="44"/>
    </row>
    <row r="2724" spans="14:25" ht="15" customHeight="1" x14ac:dyDescent="0.25">
      <c r="N2724" s="44"/>
      <c r="O2724" s="44"/>
      <c r="P2724" s="44"/>
      <c r="Q2724" s="44"/>
      <c r="R2724" s="44"/>
      <c r="S2724" s="44"/>
      <c r="T2724" s="44"/>
      <c r="U2724" s="44"/>
      <c r="V2724" s="44"/>
      <c r="W2724" s="44"/>
      <c r="X2724" s="44"/>
      <c r="Y2724" s="44"/>
    </row>
    <row r="2725" spans="14:25" ht="15" customHeight="1" x14ac:dyDescent="0.25">
      <c r="N2725" s="44"/>
      <c r="O2725" s="44"/>
      <c r="P2725" s="44"/>
      <c r="Q2725" s="44"/>
      <c r="R2725" s="44"/>
      <c r="S2725" s="44"/>
      <c r="T2725" s="44"/>
      <c r="U2725" s="44"/>
      <c r="V2725" s="44"/>
      <c r="W2725" s="44"/>
      <c r="X2725" s="44"/>
      <c r="Y2725" s="44"/>
    </row>
    <row r="2726" spans="14:25" ht="15" customHeight="1" x14ac:dyDescent="0.25">
      <c r="N2726" s="44"/>
      <c r="O2726" s="44"/>
      <c r="P2726" s="44"/>
      <c r="Q2726" s="44"/>
      <c r="R2726" s="44"/>
      <c r="S2726" s="44"/>
      <c r="T2726" s="44"/>
      <c r="U2726" s="44"/>
      <c r="V2726" s="44"/>
      <c r="W2726" s="44"/>
      <c r="X2726" s="44"/>
      <c r="Y2726" s="44"/>
    </row>
    <row r="2727" spans="14:25" ht="15" customHeight="1" x14ac:dyDescent="0.25">
      <c r="N2727" s="44"/>
      <c r="O2727" s="44"/>
      <c r="P2727" s="44"/>
      <c r="Q2727" s="44"/>
      <c r="R2727" s="44"/>
      <c r="S2727" s="44"/>
      <c r="T2727" s="44"/>
      <c r="U2727" s="44"/>
      <c r="V2727" s="44"/>
      <c r="W2727" s="44"/>
      <c r="X2727" s="44"/>
      <c r="Y2727" s="44"/>
    </row>
    <row r="2728" spans="14:25" ht="15" customHeight="1" x14ac:dyDescent="0.25">
      <c r="N2728" s="44"/>
      <c r="O2728" s="44"/>
      <c r="P2728" s="44"/>
      <c r="Q2728" s="44"/>
      <c r="R2728" s="44"/>
      <c r="S2728" s="44"/>
      <c r="T2728" s="44"/>
      <c r="U2728" s="44"/>
      <c r="V2728" s="44"/>
      <c r="W2728" s="44"/>
      <c r="X2728" s="44"/>
      <c r="Y2728" s="44"/>
    </row>
    <row r="2729" spans="14:25" ht="15" customHeight="1" x14ac:dyDescent="0.25">
      <c r="N2729" s="44"/>
      <c r="O2729" s="44"/>
      <c r="P2729" s="44"/>
      <c r="Q2729" s="44"/>
      <c r="R2729" s="44"/>
      <c r="S2729" s="44"/>
      <c r="T2729" s="44"/>
      <c r="U2729" s="44"/>
      <c r="V2729" s="44"/>
      <c r="W2729" s="44"/>
      <c r="X2729" s="44"/>
      <c r="Y2729" s="44"/>
    </row>
    <row r="2730" spans="14:25" ht="15" customHeight="1" x14ac:dyDescent="0.25">
      <c r="N2730" s="44"/>
      <c r="O2730" s="44"/>
      <c r="P2730" s="44"/>
      <c r="Q2730" s="44"/>
      <c r="R2730" s="44"/>
      <c r="S2730" s="44"/>
      <c r="T2730" s="44"/>
      <c r="U2730" s="44"/>
      <c r="V2730" s="44"/>
      <c r="W2730" s="44"/>
      <c r="X2730" s="44"/>
      <c r="Y2730" s="44"/>
    </row>
    <row r="2731" spans="14:25" ht="15" customHeight="1" x14ac:dyDescent="0.25">
      <c r="N2731" s="44"/>
      <c r="O2731" s="44"/>
      <c r="P2731" s="44"/>
      <c r="Q2731" s="44"/>
      <c r="R2731" s="44"/>
      <c r="S2731" s="44"/>
      <c r="T2731" s="44"/>
      <c r="U2731" s="44"/>
      <c r="V2731" s="44"/>
      <c r="W2731" s="44"/>
      <c r="X2731" s="44"/>
      <c r="Y2731" s="44"/>
    </row>
    <row r="2732" spans="14:25" ht="15" customHeight="1" x14ac:dyDescent="0.25">
      <c r="N2732" s="44"/>
      <c r="O2732" s="44"/>
      <c r="P2732" s="44"/>
      <c r="Q2732" s="44"/>
      <c r="R2732" s="44"/>
      <c r="S2732" s="44"/>
      <c r="T2732" s="44"/>
      <c r="U2732" s="44"/>
      <c r="V2732" s="44"/>
      <c r="W2732" s="44"/>
      <c r="X2732" s="44"/>
      <c r="Y2732" s="44"/>
    </row>
    <row r="2733" spans="14:25" ht="15" customHeight="1" x14ac:dyDescent="0.25">
      <c r="N2733" s="44"/>
      <c r="O2733" s="44"/>
      <c r="P2733" s="44"/>
      <c r="Q2733" s="44"/>
      <c r="R2733" s="44"/>
      <c r="S2733" s="44"/>
      <c r="T2733" s="44"/>
      <c r="U2733" s="44"/>
      <c r="V2733" s="44"/>
      <c r="W2733" s="44"/>
      <c r="X2733" s="44"/>
      <c r="Y2733" s="44"/>
    </row>
    <row r="2734" spans="14:25" ht="15" customHeight="1" x14ac:dyDescent="0.25">
      <c r="N2734" s="44"/>
      <c r="O2734" s="44"/>
      <c r="P2734" s="44"/>
      <c r="Q2734" s="44"/>
      <c r="R2734" s="44"/>
      <c r="S2734" s="44"/>
      <c r="T2734" s="44"/>
      <c r="U2734" s="44"/>
      <c r="V2734" s="44"/>
      <c r="W2734" s="44"/>
      <c r="X2734" s="44"/>
      <c r="Y2734" s="44"/>
    </row>
    <row r="2735" spans="14:25" ht="15" customHeight="1" x14ac:dyDescent="0.25">
      <c r="N2735" s="44"/>
      <c r="O2735" s="44"/>
      <c r="P2735" s="44"/>
      <c r="Q2735" s="44"/>
      <c r="R2735" s="44"/>
      <c r="S2735" s="44"/>
      <c r="T2735" s="44"/>
      <c r="U2735" s="44"/>
      <c r="V2735" s="44"/>
      <c r="W2735" s="44"/>
      <c r="X2735" s="44"/>
      <c r="Y2735" s="44"/>
    </row>
    <row r="2736" spans="14:25" ht="15" customHeight="1" x14ac:dyDescent="0.25">
      <c r="N2736" s="44"/>
      <c r="O2736" s="44"/>
      <c r="P2736" s="44"/>
      <c r="Q2736" s="44"/>
      <c r="R2736" s="44"/>
      <c r="S2736" s="44"/>
      <c r="T2736" s="44"/>
      <c r="U2736" s="44"/>
      <c r="V2736" s="44"/>
      <c r="W2736" s="44"/>
      <c r="X2736" s="44"/>
      <c r="Y2736" s="44"/>
    </row>
    <row r="2737" spans="14:25" ht="15" customHeight="1" x14ac:dyDescent="0.25">
      <c r="N2737" s="44"/>
      <c r="O2737" s="44"/>
      <c r="P2737" s="44"/>
      <c r="Q2737" s="44"/>
      <c r="R2737" s="44"/>
      <c r="S2737" s="44"/>
      <c r="T2737" s="44"/>
      <c r="U2737" s="44"/>
      <c r="V2737" s="44"/>
      <c r="W2737" s="44"/>
      <c r="X2737" s="44"/>
      <c r="Y2737" s="44"/>
    </row>
    <row r="2738" spans="14:25" ht="15" customHeight="1" x14ac:dyDescent="0.25">
      <c r="N2738" s="44"/>
      <c r="O2738" s="44"/>
      <c r="P2738" s="44"/>
      <c r="Q2738" s="44"/>
      <c r="R2738" s="44"/>
      <c r="S2738" s="44"/>
      <c r="T2738" s="44"/>
      <c r="U2738" s="44"/>
      <c r="V2738" s="44"/>
      <c r="W2738" s="44"/>
      <c r="X2738" s="44"/>
      <c r="Y2738" s="44"/>
    </row>
    <row r="2739" spans="14:25" ht="15" customHeight="1" x14ac:dyDescent="0.25">
      <c r="N2739" s="44"/>
      <c r="O2739" s="44"/>
      <c r="P2739" s="44"/>
      <c r="Q2739" s="44"/>
      <c r="R2739" s="44"/>
      <c r="S2739" s="44"/>
      <c r="T2739" s="44"/>
      <c r="U2739" s="44"/>
      <c r="V2739" s="44"/>
      <c r="W2739" s="44"/>
      <c r="X2739" s="44"/>
      <c r="Y2739" s="44"/>
    </row>
    <row r="2740" spans="14:25" ht="15" customHeight="1" x14ac:dyDescent="0.25">
      <c r="N2740" s="44"/>
      <c r="O2740" s="44"/>
      <c r="P2740" s="44"/>
      <c r="Q2740" s="44"/>
      <c r="R2740" s="44"/>
      <c r="S2740" s="44"/>
      <c r="T2740" s="44"/>
      <c r="U2740" s="44"/>
      <c r="V2740" s="44"/>
      <c r="W2740" s="44"/>
      <c r="X2740" s="44"/>
      <c r="Y2740" s="44"/>
    </row>
    <row r="2741" spans="14:25" ht="15" customHeight="1" x14ac:dyDescent="0.25">
      <c r="N2741" s="44"/>
      <c r="O2741" s="44"/>
      <c r="P2741" s="44"/>
      <c r="Q2741" s="44"/>
      <c r="R2741" s="44"/>
      <c r="S2741" s="44"/>
      <c r="T2741" s="44"/>
      <c r="U2741" s="44"/>
      <c r="V2741" s="44"/>
      <c r="W2741" s="44"/>
      <c r="X2741" s="44"/>
      <c r="Y2741" s="44"/>
    </row>
    <row r="2742" spans="14:25" ht="15" customHeight="1" x14ac:dyDescent="0.25">
      <c r="N2742" s="44"/>
      <c r="O2742" s="44"/>
      <c r="P2742" s="44"/>
      <c r="Q2742" s="44"/>
      <c r="R2742" s="44"/>
      <c r="S2742" s="44"/>
      <c r="T2742" s="44"/>
      <c r="U2742" s="44"/>
      <c r="V2742" s="44"/>
      <c r="W2742" s="44"/>
      <c r="X2742" s="44"/>
      <c r="Y2742" s="44"/>
    </row>
    <row r="2743" spans="14:25" ht="15" customHeight="1" x14ac:dyDescent="0.25">
      <c r="N2743" s="44"/>
      <c r="O2743" s="44"/>
      <c r="P2743" s="44"/>
      <c r="Q2743" s="44"/>
      <c r="R2743" s="44"/>
      <c r="S2743" s="44"/>
      <c r="T2743" s="44"/>
      <c r="U2743" s="44"/>
      <c r="V2743" s="44"/>
      <c r="W2743" s="44"/>
      <c r="X2743" s="44"/>
      <c r="Y2743" s="44"/>
    </row>
    <row r="2744" spans="14:25" ht="15" customHeight="1" x14ac:dyDescent="0.25">
      <c r="N2744" s="44"/>
      <c r="O2744" s="44"/>
      <c r="P2744" s="44"/>
      <c r="Q2744" s="44"/>
      <c r="R2744" s="44"/>
      <c r="S2744" s="44"/>
      <c r="T2744" s="44"/>
      <c r="U2744" s="44"/>
      <c r="V2744" s="44"/>
      <c r="W2744" s="44"/>
      <c r="X2744" s="44"/>
      <c r="Y2744" s="44"/>
    </row>
    <row r="2745" spans="14:25" ht="15" customHeight="1" x14ac:dyDescent="0.25">
      <c r="N2745" s="44"/>
      <c r="O2745" s="44"/>
      <c r="P2745" s="44"/>
      <c r="Q2745" s="44"/>
      <c r="R2745" s="44"/>
      <c r="S2745" s="44"/>
      <c r="T2745" s="44"/>
      <c r="U2745" s="44"/>
      <c r="V2745" s="44"/>
      <c r="W2745" s="44"/>
      <c r="X2745" s="44"/>
      <c r="Y2745" s="44"/>
    </row>
    <row r="2746" spans="14:25" ht="15" customHeight="1" x14ac:dyDescent="0.25">
      <c r="N2746" s="44"/>
      <c r="O2746" s="44"/>
      <c r="P2746" s="44"/>
      <c r="Q2746" s="44"/>
      <c r="R2746" s="44"/>
      <c r="S2746" s="44"/>
      <c r="T2746" s="44"/>
      <c r="U2746" s="44"/>
      <c r="V2746" s="44"/>
      <c r="W2746" s="44"/>
      <c r="X2746" s="44"/>
      <c r="Y2746" s="44"/>
    </row>
    <row r="2747" spans="14:25" ht="15" customHeight="1" x14ac:dyDescent="0.25">
      <c r="N2747" s="44"/>
      <c r="O2747" s="44"/>
      <c r="P2747" s="44"/>
      <c r="Q2747" s="44"/>
      <c r="R2747" s="44"/>
      <c r="S2747" s="44"/>
      <c r="T2747" s="44"/>
      <c r="U2747" s="44"/>
      <c r="V2747" s="44"/>
      <c r="W2747" s="44"/>
      <c r="X2747" s="44"/>
      <c r="Y2747" s="44"/>
    </row>
    <row r="2748" spans="14:25" ht="15" customHeight="1" x14ac:dyDescent="0.25">
      <c r="N2748" s="44"/>
      <c r="O2748" s="44"/>
      <c r="P2748" s="44"/>
      <c r="Q2748" s="44"/>
      <c r="R2748" s="44"/>
      <c r="S2748" s="44"/>
      <c r="T2748" s="44"/>
      <c r="U2748" s="44"/>
      <c r="V2748" s="44"/>
      <c r="W2748" s="44"/>
      <c r="X2748" s="44"/>
      <c r="Y2748" s="44"/>
    </row>
    <row r="2749" spans="14:25" ht="15" customHeight="1" x14ac:dyDescent="0.25">
      <c r="N2749" s="44"/>
      <c r="O2749" s="44"/>
      <c r="P2749" s="44"/>
      <c r="Q2749" s="44"/>
      <c r="R2749" s="44"/>
      <c r="S2749" s="44"/>
      <c r="T2749" s="44"/>
      <c r="U2749" s="44"/>
      <c r="V2749" s="44"/>
      <c r="W2749" s="44"/>
      <c r="X2749" s="44"/>
      <c r="Y2749" s="44"/>
    </row>
    <row r="2750" spans="14:25" ht="15" customHeight="1" x14ac:dyDescent="0.25">
      <c r="N2750" s="44"/>
      <c r="O2750" s="44"/>
      <c r="P2750" s="44"/>
      <c r="Q2750" s="44"/>
      <c r="R2750" s="44"/>
      <c r="S2750" s="44"/>
      <c r="T2750" s="44"/>
      <c r="U2750" s="44"/>
      <c r="V2750" s="44"/>
      <c r="W2750" s="44"/>
      <c r="X2750" s="44"/>
      <c r="Y2750" s="44"/>
    </row>
    <row r="2751" spans="14:25" ht="15" customHeight="1" x14ac:dyDescent="0.25">
      <c r="N2751" s="44"/>
      <c r="O2751" s="44"/>
      <c r="P2751" s="44"/>
      <c r="Q2751" s="44"/>
      <c r="R2751" s="44"/>
      <c r="S2751" s="44"/>
      <c r="T2751" s="44"/>
      <c r="U2751" s="44"/>
      <c r="V2751" s="44"/>
      <c r="W2751" s="44"/>
      <c r="X2751" s="44"/>
      <c r="Y2751" s="44"/>
    </row>
    <row r="2752" spans="14:25" ht="15" customHeight="1" x14ac:dyDescent="0.25">
      <c r="N2752" s="44"/>
      <c r="O2752" s="44"/>
      <c r="P2752" s="44"/>
      <c r="Q2752" s="44"/>
      <c r="R2752" s="44"/>
      <c r="S2752" s="44"/>
      <c r="T2752" s="44"/>
      <c r="U2752" s="44"/>
      <c r="V2752" s="44"/>
      <c r="W2752" s="44"/>
      <c r="X2752" s="44"/>
      <c r="Y2752" s="44"/>
    </row>
    <row r="2753" spans="14:25" ht="15" customHeight="1" x14ac:dyDescent="0.25">
      <c r="N2753" s="44"/>
      <c r="O2753" s="44"/>
      <c r="P2753" s="44"/>
      <c r="Q2753" s="44"/>
      <c r="R2753" s="44"/>
      <c r="S2753" s="44"/>
      <c r="T2753" s="44"/>
      <c r="U2753" s="44"/>
      <c r="V2753" s="44"/>
      <c r="W2753" s="44"/>
      <c r="X2753" s="44"/>
      <c r="Y2753" s="44"/>
    </row>
    <row r="2754" spans="14:25" ht="15" customHeight="1" x14ac:dyDescent="0.25">
      <c r="N2754" s="44"/>
      <c r="O2754" s="44"/>
      <c r="P2754" s="44"/>
      <c r="Q2754" s="44"/>
      <c r="R2754" s="44"/>
      <c r="S2754" s="44"/>
      <c r="T2754" s="44"/>
      <c r="U2754" s="44"/>
      <c r="V2754" s="44"/>
      <c r="W2754" s="44"/>
      <c r="X2754" s="44"/>
      <c r="Y2754" s="44"/>
    </row>
    <row r="2755" spans="14:25" ht="15" customHeight="1" x14ac:dyDescent="0.25">
      <c r="N2755" s="44"/>
      <c r="O2755" s="44"/>
      <c r="P2755" s="44"/>
      <c r="Q2755" s="44"/>
      <c r="R2755" s="44"/>
      <c r="S2755" s="44"/>
      <c r="T2755" s="44"/>
      <c r="U2755" s="44"/>
      <c r="V2755" s="44"/>
      <c r="W2755" s="44"/>
      <c r="X2755" s="44"/>
      <c r="Y2755" s="44"/>
    </row>
    <row r="2756" spans="14:25" ht="15" customHeight="1" x14ac:dyDescent="0.25">
      <c r="N2756" s="44"/>
      <c r="O2756" s="44"/>
      <c r="P2756" s="44"/>
      <c r="Q2756" s="44"/>
      <c r="R2756" s="44"/>
      <c r="S2756" s="44"/>
      <c r="T2756" s="44"/>
      <c r="U2756" s="44"/>
      <c r="V2756" s="44"/>
      <c r="W2756" s="44"/>
      <c r="X2756" s="44"/>
      <c r="Y2756" s="44"/>
    </row>
    <row r="2757" spans="14:25" ht="15" customHeight="1" x14ac:dyDescent="0.25">
      <c r="N2757" s="44"/>
      <c r="O2757" s="44"/>
      <c r="P2757" s="44"/>
      <c r="Q2757" s="44"/>
      <c r="R2757" s="44"/>
      <c r="S2757" s="44"/>
      <c r="T2757" s="44"/>
      <c r="U2757" s="44"/>
      <c r="V2757" s="44"/>
      <c r="W2757" s="44"/>
      <c r="X2757" s="44"/>
      <c r="Y2757" s="44"/>
    </row>
    <row r="2758" spans="14:25" ht="15" customHeight="1" x14ac:dyDescent="0.25">
      <c r="N2758" s="44"/>
      <c r="O2758" s="44"/>
      <c r="P2758" s="44"/>
      <c r="Q2758" s="44"/>
      <c r="R2758" s="44"/>
      <c r="S2758" s="44"/>
      <c r="T2758" s="44"/>
      <c r="U2758" s="44"/>
      <c r="V2758" s="44"/>
      <c r="W2758" s="44"/>
      <c r="X2758" s="44"/>
      <c r="Y2758" s="44"/>
    </row>
    <row r="2759" spans="14:25" ht="15" customHeight="1" x14ac:dyDescent="0.25">
      <c r="N2759" s="44"/>
      <c r="O2759" s="44"/>
      <c r="P2759" s="44"/>
      <c r="Q2759" s="44"/>
      <c r="R2759" s="44"/>
      <c r="S2759" s="44"/>
      <c r="T2759" s="44"/>
      <c r="U2759" s="44"/>
      <c r="V2759" s="44"/>
      <c r="W2759" s="44"/>
      <c r="X2759" s="44"/>
      <c r="Y2759" s="44"/>
    </row>
    <row r="2760" spans="14:25" ht="15" customHeight="1" x14ac:dyDescent="0.25">
      <c r="N2760" s="44"/>
      <c r="O2760" s="44"/>
      <c r="P2760" s="44"/>
      <c r="Q2760" s="44"/>
      <c r="R2760" s="44"/>
      <c r="S2760" s="44"/>
      <c r="T2760" s="44"/>
      <c r="U2760" s="44"/>
      <c r="V2760" s="44"/>
      <c r="W2760" s="44"/>
      <c r="X2760" s="44"/>
      <c r="Y2760" s="44"/>
    </row>
    <row r="2761" spans="14:25" ht="15" customHeight="1" x14ac:dyDescent="0.25">
      <c r="N2761" s="44"/>
      <c r="O2761" s="44"/>
      <c r="P2761" s="44"/>
      <c r="Q2761" s="44"/>
      <c r="R2761" s="44"/>
      <c r="S2761" s="44"/>
      <c r="T2761" s="44"/>
      <c r="U2761" s="44"/>
      <c r="V2761" s="44"/>
      <c r="W2761" s="44"/>
      <c r="X2761" s="44"/>
      <c r="Y2761" s="44"/>
    </row>
    <row r="2762" spans="14:25" ht="15" customHeight="1" x14ac:dyDescent="0.25">
      <c r="N2762" s="44"/>
      <c r="O2762" s="44"/>
      <c r="P2762" s="44"/>
      <c r="Q2762" s="44"/>
      <c r="R2762" s="44"/>
      <c r="S2762" s="44"/>
      <c r="T2762" s="44"/>
      <c r="U2762" s="44"/>
      <c r="V2762" s="44"/>
      <c r="W2762" s="44"/>
      <c r="X2762" s="44"/>
      <c r="Y2762" s="44"/>
    </row>
    <row r="2763" spans="14:25" ht="15" customHeight="1" x14ac:dyDescent="0.25">
      <c r="N2763" s="44"/>
      <c r="O2763" s="44"/>
      <c r="P2763" s="44"/>
      <c r="Q2763" s="44"/>
      <c r="R2763" s="44"/>
      <c r="S2763" s="44"/>
      <c r="T2763" s="44"/>
      <c r="U2763" s="44"/>
      <c r="V2763" s="44"/>
      <c r="W2763" s="44"/>
      <c r="X2763" s="44"/>
      <c r="Y2763" s="44"/>
    </row>
    <row r="2764" spans="14:25" ht="15" customHeight="1" x14ac:dyDescent="0.25">
      <c r="N2764" s="44"/>
      <c r="O2764" s="44"/>
      <c r="P2764" s="44"/>
      <c r="Q2764" s="44"/>
      <c r="R2764" s="44"/>
      <c r="S2764" s="44"/>
      <c r="T2764" s="44"/>
      <c r="U2764" s="44"/>
      <c r="V2764" s="44"/>
      <c r="W2764" s="44"/>
      <c r="X2764" s="44"/>
      <c r="Y2764" s="44"/>
    </row>
    <row r="2765" spans="14:25" ht="15" customHeight="1" x14ac:dyDescent="0.25">
      <c r="N2765" s="44"/>
      <c r="O2765" s="44"/>
      <c r="P2765" s="44"/>
      <c r="Q2765" s="44"/>
      <c r="R2765" s="44"/>
      <c r="S2765" s="44"/>
      <c r="T2765" s="44"/>
      <c r="U2765" s="44"/>
      <c r="V2765" s="44"/>
      <c r="W2765" s="44"/>
      <c r="X2765" s="44"/>
      <c r="Y2765" s="44"/>
    </row>
    <row r="2766" spans="14:25" ht="15" customHeight="1" x14ac:dyDescent="0.25">
      <c r="N2766" s="44"/>
      <c r="O2766" s="44"/>
      <c r="P2766" s="44"/>
      <c r="Q2766" s="44"/>
      <c r="R2766" s="44"/>
      <c r="S2766" s="44"/>
      <c r="T2766" s="44"/>
      <c r="U2766" s="44"/>
      <c r="V2766" s="44"/>
      <c r="W2766" s="44"/>
      <c r="X2766" s="44"/>
      <c r="Y2766" s="44"/>
    </row>
    <row r="2767" spans="14:25" ht="15" customHeight="1" x14ac:dyDescent="0.25">
      <c r="N2767" s="44"/>
      <c r="O2767" s="44"/>
      <c r="P2767" s="44"/>
      <c r="Q2767" s="44"/>
      <c r="R2767" s="44"/>
      <c r="S2767" s="44"/>
      <c r="T2767" s="44"/>
      <c r="U2767" s="44"/>
      <c r="V2767" s="44"/>
      <c r="W2767" s="44"/>
      <c r="X2767" s="44"/>
      <c r="Y2767" s="44"/>
    </row>
    <row r="2768" spans="14:25" ht="15" customHeight="1" x14ac:dyDescent="0.25">
      <c r="N2768" s="44"/>
      <c r="O2768" s="44"/>
      <c r="P2768" s="44"/>
      <c r="Q2768" s="44"/>
      <c r="R2768" s="44"/>
      <c r="S2768" s="44"/>
      <c r="T2768" s="44"/>
      <c r="U2768" s="44"/>
      <c r="V2768" s="44"/>
      <c r="W2768" s="44"/>
      <c r="X2768" s="44"/>
      <c r="Y2768" s="44"/>
    </row>
    <row r="2769" spans="14:25" ht="15" customHeight="1" x14ac:dyDescent="0.25">
      <c r="N2769" s="44"/>
      <c r="O2769" s="44"/>
      <c r="P2769" s="44"/>
      <c r="Q2769" s="44"/>
      <c r="R2769" s="44"/>
      <c r="S2769" s="44"/>
      <c r="T2769" s="44"/>
      <c r="U2769" s="44"/>
      <c r="V2769" s="44"/>
      <c r="W2769" s="44"/>
      <c r="X2769" s="44"/>
      <c r="Y2769" s="44"/>
    </row>
    <row r="2770" spans="14:25" ht="15" customHeight="1" x14ac:dyDescent="0.25">
      <c r="N2770" s="44"/>
      <c r="O2770" s="44"/>
      <c r="P2770" s="44"/>
      <c r="Q2770" s="44"/>
      <c r="R2770" s="44"/>
      <c r="S2770" s="44"/>
      <c r="T2770" s="44"/>
      <c r="U2770" s="44"/>
      <c r="V2770" s="44"/>
      <c r="W2770" s="44"/>
      <c r="X2770" s="44"/>
      <c r="Y2770" s="44"/>
    </row>
    <row r="2771" spans="14:25" ht="15" customHeight="1" x14ac:dyDescent="0.25">
      <c r="N2771" s="44"/>
      <c r="O2771" s="44"/>
      <c r="P2771" s="44"/>
      <c r="Q2771" s="44"/>
      <c r="R2771" s="44"/>
      <c r="S2771" s="44"/>
      <c r="T2771" s="44"/>
      <c r="U2771" s="44"/>
      <c r="V2771" s="44"/>
      <c r="W2771" s="44"/>
      <c r="X2771" s="44"/>
      <c r="Y2771" s="44"/>
    </row>
    <row r="2772" spans="14:25" ht="15" customHeight="1" x14ac:dyDescent="0.25">
      <c r="N2772" s="44"/>
      <c r="O2772" s="44"/>
      <c r="P2772" s="44"/>
      <c r="Q2772" s="44"/>
      <c r="R2772" s="44"/>
      <c r="S2772" s="44"/>
      <c r="T2772" s="44"/>
      <c r="U2772" s="44"/>
      <c r="V2772" s="44"/>
      <c r="W2772" s="44"/>
      <c r="X2772" s="44"/>
      <c r="Y2772" s="44"/>
    </row>
    <row r="2773" spans="14:25" ht="15" customHeight="1" x14ac:dyDescent="0.25">
      <c r="N2773" s="44"/>
      <c r="O2773" s="44"/>
      <c r="P2773" s="44"/>
      <c r="Q2773" s="44"/>
      <c r="R2773" s="44"/>
      <c r="S2773" s="44"/>
      <c r="T2773" s="44"/>
      <c r="U2773" s="44"/>
      <c r="V2773" s="44"/>
      <c r="W2773" s="44"/>
      <c r="X2773" s="44"/>
      <c r="Y2773" s="44"/>
    </row>
    <row r="2774" spans="14:25" ht="15" customHeight="1" x14ac:dyDescent="0.25">
      <c r="N2774" s="44"/>
      <c r="O2774" s="44"/>
      <c r="P2774" s="44"/>
      <c r="Q2774" s="44"/>
      <c r="R2774" s="44"/>
      <c r="S2774" s="44"/>
      <c r="T2774" s="44"/>
      <c r="U2774" s="44"/>
      <c r="V2774" s="44"/>
      <c r="W2774" s="44"/>
      <c r="X2774" s="44"/>
      <c r="Y2774" s="44"/>
    </row>
    <row r="2775" spans="14:25" ht="15" customHeight="1" x14ac:dyDescent="0.25">
      <c r="N2775" s="44"/>
      <c r="O2775" s="44"/>
      <c r="P2775" s="44"/>
      <c r="Q2775" s="44"/>
      <c r="R2775" s="44"/>
      <c r="S2775" s="44"/>
      <c r="T2775" s="44"/>
      <c r="U2775" s="44"/>
      <c r="V2775" s="44"/>
      <c r="W2775" s="44"/>
      <c r="X2775" s="44"/>
      <c r="Y2775" s="44"/>
    </row>
    <row r="2776" spans="14:25" ht="15" customHeight="1" x14ac:dyDescent="0.25">
      <c r="N2776" s="44"/>
      <c r="O2776" s="44"/>
      <c r="P2776" s="44"/>
      <c r="Q2776" s="44"/>
      <c r="R2776" s="44"/>
      <c r="S2776" s="44"/>
      <c r="T2776" s="44"/>
      <c r="U2776" s="44"/>
      <c r="V2776" s="44"/>
      <c r="W2776" s="44"/>
      <c r="X2776" s="44"/>
      <c r="Y2776" s="44"/>
    </row>
    <row r="2777" spans="14:25" ht="15" customHeight="1" x14ac:dyDescent="0.25">
      <c r="N2777" s="44"/>
      <c r="O2777" s="44"/>
      <c r="P2777" s="44"/>
      <c r="Q2777" s="44"/>
      <c r="R2777" s="44"/>
      <c r="S2777" s="44"/>
      <c r="T2777" s="44"/>
      <c r="U2777" s="44"/>
      <c r="V2777" s="44"/>
      <c r="W2777" s="44"/>
      <c r="X2777" s="44"/>
      <c r="Y2777" s="44"/>
    </row>
    <row r="2778" spans="14:25" ht="15" customHeight="1" x14ac:dyDescent="0.25">
      <c r="N2778" s="44"/>
      <c r="O2778" s="44"/>
      <c r="P2778" s="44"/>
      <c r="Q2778" s="44"/>
      <c r="R2778" s="44"/>
      <c r="S2778" s="44"/>
      <c r="T2778" s="44"/>
      <c r="U2778" s="44"/>
      <c r="V2778" s="44"/>
      <c r="W2778" s="44"/>
      <c r="X2778" s="44"/>
      <c r="Y2778" s="44"/>
    </row>
    <row r="2779" spans="14:25" ht="15" customHeight="1" x14ac:dyDescent="0.25">
      <c r="N2779" s="44"/>
      <c r="O2779" s="44"/>
      <c r="P2779" s="44"/>
      <c r="Q2779" s="44"/>
      <c r="R2779" s="44"/>
      <c r="S2779" s="44"/>
      <c r="T2779" s="44"/>
      <c r="U2779" s="44"/>
      <c r="V2779" s="44"/>
      <c r="W2779" s="44"/>
      <c r="X2779" s="44"/>
      <c r="Y2779" s="44"/>
    </row>
    <row r="2780" spans="14:25" ht="15" customHeight="1" x14ac:dyDescent="0.25">
      <c r="N2780" s="44"/>
      <c r="O2780" s="44"/>
      <c r="P2780" s="44"/>
      <c r="Q2780" s="44"/>
      <c r="R2780" s="44"/>
      <c r="S2780" s="44"/>
      <c r="T2780" s="44"/>
      <c r="U2780" s="44"/>
      <c r="V2780" s="44"/>
      <c r="W2780" s="44"/>
      <c r="X2780" s="44"/>
      <c r="Y2780" s="44"/>
    </row>
    <row r="2781" spans="14:25" ht="15" customHeight="1" x14ac:dyDescent="0.25">
      <c r="N2781" s="44"/>
      <c r="O2781" s="44"/>
      <c r="P2781" s="44"/>
      <c r="Q2781" s="44"/>
      <c r="R2781" s="44"/>
      <c r="S2781" s="44"/>
      <c r="T2781" s="44"/>
      <c r="U2781" s="44"/>
      <c r="V2781" s="44"/>
      <c r="W2781" s="44"/>
      <c r="X2781" s="44"/>
      <c r="Y2781" s="44"/>
    </row>
    <row r="2782" spans="14:25" ht="15" customHeight="1" x14ac:dyDescent="0.25">
      <c r="N2782" s="44"/>
      <c r="O2782" s="44"/>
      <c r="P2782" s="44"/>
      <c r="Q2782" s="44"/>
      <c r="R2782" s="44"/>
      <c r="S2782" s="44"/>
      <c r="T2782" s="44"/>
      <c r="U2782" s="44"/>
      <c r="V2782" s="44"/>
      <c r="W2782" s="44"/>
      <c r="X2782" s="44"/>
      <c r="Y2782" s="44"/>
    </row>
    <row r="2783" spans="14:25" ht="15" customHeight="1" x14ac:dyDescent="0.25">
      <c r="N2783" s="44"/>
      <c r="O2783" s="44"/>
      <c r="P2783" s="44"/>
      <c r="Q2783" s="44"/>
      <c r="R2783" s="44"/>
      <c r="S2783" s="44"/>
      <c r="T2783" s="44"/>
      <c r="U2783" s="44"/>
      <c r="V2783" s="44"/>
      <c r="W2783" s="44"/>
      <c r="X2783" s="44"/>
      <c r="Y2783" s="44"/>
    </row>
    <row r="2784" spans="14:25" ht="15" customHeight="1" x14ac:dyDescent="0.25">
      <c r="N2784" s="44"/>
      <c r="O2784" s="44"/>
      <c r="P2784" s="44"/>
      <c r="Q2784" s="44"/>
      <c r="R2784" s="44"/>
      <c r="S2784" s="44"/>
      <c r="T2784" s="44"/>
      <c r="U2784" s="44"/>
      <c r="V2784" s="44"/>
      <c r="W2784" s="44"/>
      <c r="X2784" s="44"/>
      <c r="Y2784" s="44"/>
    </row>
    <row r="2785" spans="14:25" ht="15" customHeight="1" x14ac:dyDescent="0.25">
      <c r="N2785" s="44"/>
      <c r="O2785" s="44"/>
      <c r="P2785" s="44"/>
      <c r="Q2785" s="44"/>
      <c r="R2785" s="44"/>
      <c r="S2785" s="44"/>
      <c r="T2785" s="44"/>
      <c r="U2785" s="44"/>
      <c r="V2785" s="44"/>
      <c r="W2785" s="44"/>
      <c r="X2785" s="44"/>
      <c r="Y2785" s="44"/>
    </row>
    <row r="2786" spans="14:25" ht="15" customHeight="1" x14ac:dyDescent="0.25">
      <c r="N2786" s="44"/>
      <c r="O2786" s="44"/>
      <c r="P2786" s="44"/>
      <c r="Q2786" s="44"/>
      <c r="R2786" s="44"/>
      <c r="S2786" s="44"/>
      <c r="T2786" s="44"/>
      <c r="U2786" s="44"/>
      <c r="V2786" s="44"/>
      <c r="W2786" s="44"/>
      <c r="X2786" s="44"/>
      <c r="Y2786" s="44"/>
    </row>
    <row r="2787" spans="14:25" ht="15" customHeight="1" x14ac:dyDescent="0.25">
      <c r="N2787" s="44"/>
      <c r="O2787" s="44"/>
      <c r="P2787" s="44"/>
      <c r="Q2787" s="44"/>
      <c r="R2787" s="44"/>
      <c r="S2787" s="44"/>
      <c r="T2787" s="44"/>
      <c r="U2787" s="44"/>
      <c r="V2787" s="44"/>
      <c r="W2787" s="44"/>
      <c r="X2787" s="44"/>
      <c r="Y2787" s="44"/>
    </row>
    <row r="2788" spans="14:25" ht="15" customHeight="1" x14ac:dyDescent="0.25">
      <c r="N2788" s="44"/>
      <c r="O2788" s="44"/>
      <c r="P2788" s="44"/>
      <c r="Q2788" s="44"/>
      <c r="R2788" s="44"/>
      <c r="S2788" s="44"/>
      <c r="T2788" s="44"/>
      <c r="U2788" s="44"/>
      <c r="V2788" s="44"/>
      <c r="W2788" s="44"/>
      <c r="X2788" s="44"/>
      <c r="Y2788" s="44"/>
    </row>
    <row r="2789" spans="14:25" ht="15" customHeight="1" x14ac:dyDescent="0.25">
      <c r="N2789" s="44"/>
      <c r="O2789" s="44"/>
      <c r="P2789" s="44"/>
      <c r="Q2789" s="44"/>
      <c r="R2789" s="44"/>
      <c r="S2789" s="44"/>
      <c r="T2789" s="44"/>
      <c r="U2789" s="44"/>
      <c r="V2789" s="44"/>
      <c r="W2789" s="44"/>
      <c r="X2789" s="44"/>
      <c r="Y2789" s="44"/>
    </row>
    <row r="2790" spans="14:25" ht="15" customHeight="1" x14ac:dyDescent="0.25">
      <c r="N2790" s="44"/>
      <c r="O2790" s="44"/>
      <c r="P2790" s="44"/>
      <c r="Q2790" s="44"/>
      <c r="R2790" s="44"/>
      <c r="S2790" s="44"/>
      <c r="T2790" s="44"/>
      <c r="U2790" s="44"/>
      <c r="V2790" s="44"/>
      <c r="W2790" s="44"/>
      <c r="X2790" s="44"/>
      <c r="Y2790" s="44"/>
    </row>
    <row r="2791" spans="14:25" ht="15" customHeight="1" x14ac:dyDescent="0.25">
      <c r="N2791" s="44"/>
      <c r="O2791" s="44"/>
      <c r="P2791" s="44"/>
      <c r="Q2791" s="44"/>
      <c r="R2791" s="44"/>
      <c r="S2791" s="44"/>
      <c r="T2791" s="44"/>
      <c r="U2791" s="44"/>
      <c r="V2791" s="44"/>
      <c r="W2791" s="44"/>
      <c r="X2791" s="44"/>
      <c r="Y2791" s="44"/>
    </row>
    <row r="2792" spans="14:25" ht="15" customHeight="1" x14ac:dyDescent="0.25">
      <c r="N2792" s="44"/>
      <c r="O2792" s="44"/>
      <c r="P2792" s="44"/>
      <c r="Q2792" s="44"/>
      <c r="R2792" s="44"/>
      <c r="S2792" s="44"/>
      <c r="T2792" s="44"/>
      <c r="U2792" s="44"/>
      <c r="V2792" s="44"/>
      <c r="W2792" s="44"/>
      <c r="X2792" s="44"/>
      <c r="Y2792" s="44"/>
    </row>
    <row r="2793" spans="14:25" ht="15" customHeight="1" x14ac:dyDescent="0.25">
      <c r="N2793" s="44"/>
      <c r="O2793" s="44"/>
      <c r="P2793" s="44"/>
      <c r="Q2793" s="44"/>
      <c r="R2793" s="44"/>
      <c r="S2793" s="44"/>
      <c r="T2793" s="44"/>
      <c r="U2793" s="44"/>
      <c r="V2793" s="44"/>
      <c r="W2793" s="44"/>
      <c r="X2793" s="44"/>
      <c r="Y2793" s="44"/>
    </row>
    <row r="2794" spans="14:25" ht="15" customHeight="1" x14ac:dyDescent="0.25">
      <c r="N2794" s="44"/>
      <c r="O2794" s="44"/>
      <c r="P2794" s="44"/>
      <c r="Q2794" s="44"/>
      <c r="R2794" s="44"/>
      <c r="S2794" s="44"/>
      <c r="T2794" s="44"/>
      <c r="U2794" s="44"/>
      <c r="V2794" s="44"/>
      <c r="W2794" s="44"/>
      <c r="X2794" s="44"/>
      <c r="Y2794" s="44"/>
    </row>
    <row r="2795" spans="14:25" ht="15" customHeight="1" x14ac:dyDescent="0.25">
      <c r="N2795" s="44"/>
      <c r="O2795" s="44"/>
      <c r="P2795" s="44"/>
      <c r="Q2795" s="44"/>
      <c r="R2795" s="44"/>
      <c r="S2795" s="44"/>
      <c r="T2795" s="44"/>
      <c r="U2795" s="44"/>
      <c r="V2795" s="44"/>
      <c r="W2795" s="44"/>
      <c r="X2795" s="44"/>
      <c r="Y2795" s="44"/>
    </row>
    <row r="2796" spans="14:25" ht="15" customHeight="1" x14ac:dyDescent="0.25">
      <c r="N2796" s="44"/>
      <c r="O2796" s="44"/>
      <c r="P2796" s="44"/>
      <c r="Q2796" s="44"/>
      <c r="R2796" s="44"/>
      <c r="S2796" s="44"/>
      <c r="T2796" s="44"/>
      <c r="U2796" s="44"/>
      <c r="V2796" s="44"/>
      <c r="W2796" s="44"/>
      <c r="X2796" s="44"/>
      <c r="Y2796" s="44"/>
    </row>
    <row r="2797" spans="14:25" ht="15" customHeight="1" x14ac:dyDescent="0.25">
      <c r="N2797" s="44"/>
      <c r="O2797" s="44"/>
      <c r="P2797" s="44"/>
      <c r="Q2797" s="44"/>
      <c r="R2797" s="44"/>
      <c r="S2797" s="44"/>
      <c r="T2797" s="44"/>
      <c r="U2797" s="44"/>
      <c r="V2797" s="44"/>
      <c r="W2797" s="44"/>
      <c r="X2797" s="44"/>
      <c r="Y2797" s="44"/>
    </row>
    <row r="2798" spans="14:25" ht="15" customHeight="1" x14ac:dyDescent="0.25">
      <c r="N2798" s="44"/>
      <c r="O2798" s="44"/>
      <c r="P2798" s="44"/>
      <c r="Q2798" s="44"/>
      <c r="R2798" s="44"/>
      <c r="S2798" s="44"/>
      <c r="T2798" s="44"/>
      <c r="U2798" s="44"/>
      <c r="V2798" s="44"/>
      <c r="W2798" s="44"/>
      <c r="X2798" s="44"/>
      <c r="Y2798" s="44"/>
    </row>
    <row r="2799" spans="14:25" ht="15" customHeight="1" x14ac:dyDescent="0.25">
      <c r="N2799" s="44"/>
      <c r="O2799" s="44"/>
      <c r="P2799" s="44"/>
      <c r="Q2799" s="44"/>
      <c r="R2799" s="44"/>
      <c r="S2799" s="44"/>
      <c r="T2799" s="44"/>
      <c r="U2799" s="44"/>
      <c r="V2799" s="44"/>
      <c r="W2799" s="44"/>
      <c r="X2799" s="44"/>
      <c r="Y2799" s="44"/>
    </row>
    <row r="2800" spans="14:25" ht="15" customHeight="1" x14ac:dyDescent="0.25">
      <c r="N2800" s="44"/>
      <c r="O2800" s="44"/>
      <c r="P2800" s="44"/>
      <c r="Q2800" s="44"/>
      <c r="R2800" s="44"/>
      <c r="S2800" s="44"/>
      <c r="T2800" s="44"/>
      <c r="U2800" s="44"/>
      <c r="V2800" s="44"/>
      <c r="W2800" s="44"/>
      <c r="X2800" s="44"/>
      <c r="Y2800" s="44"/>
    </row>
    <row r="2801" spans="14:25" ht="15" customHeight="1" x14ac:dyDescent="0.25">
      <c r="N2801" s="44"/>
      <c r="O2801" s="44"/>
      <c r="P2801" s="44"/>
      <c r="Q2801" s="44"/>
      <c r="R2801" s="44"/>
      <c r="S2801" s="44"/>
      <c r="T2801" s="44"/>
      <c r="U2801" s="44"/>
      <c r="V2801" s="44"/>
      <c r="W2801" s="44"/>
      <c r="X2801" s="44"/>
      <c r="Y2801" s="44"/>
    </row>
    <row r="2802" spans="14:25" ht="15" customHeight="1" x14ac:dyDescent="0.25">
      <c r="N2802" s="44"/>
      <c r="O2802" s="44"/>
      <c r="P2802" s="44"/>
      <c r="Q2802" s="44"/>
      <c r="R2802" s="44"/>
      <c r="S2802" s="44"/>
      <c r="T2802" s="44"/>
      <c r="U2802" s="44"/>
      <c r="V2802" s="44"/>
      <c r="W2802" s="44"/>
      <c r="X2802" s="44"/>
      <c r="Y2802" s="44"/>
    </row>
    <row r="2803" spans="14:25" ht="15" customHeight="1" x14ac:dyDescent="0.25">
      <c r="N2803" s="44"/>
      <c r="O2803" s="44"/>
      <c r="P2803" s="44"/>
      <c r="Q2803" s="44"/>
      <c r="R2803" s="44"/>
      <c r="S2803" s="44"/>
      <c r="T2803" s="44"/>
      <c r="U2803" s="44"/>
      <c r="V2803" s="44"/>
      <c r="W2803" s="44"/>
      <c r="X2803" s="44"/>
      <c r="Y2803" s="44"/>
    </row>
    <row r="2804" spans="14:25" ht="15" customHeight="1" x14ac:dyDescent="0.25">
      <c r="N2804" s="44"/>
      <c r="O2804" s="44"/>
      <c r="P2804" s="44"/>
      <c r="Q2804" s="44"/>
      <c r="R2804" s="44"/>
      <c r="S2804" s="44"/>
      <c r="T2804" s="44"/>
      <c r="U2804" s="44"/>
      <c r="V2804" s="44"/>
      <c r="W2804" s="44"/>
      <c r="X2804" s="44"/>
      <c r="Y2804" s="44"/>
    </row>
    <row r="2805" spans="14:25" ht="15" customHeight="1" x14ac:dyDescent="0.25">
      <c r="N2805" s="44"/>
      <c r="O2805" s="44"/>
      <c r="P2805" s="44"/>
      <c r="Q2805" s="44"/>
      <c r="R2805" s="44"/>
      <c r="S2805" s="44"/>
      <c r="T2805" s="44"/>
      <c r="U2805" s="44"/>
      <c r="V2805" s="44"/>
      <c r="W2805" s="44"/>
      <c r="X2805" s="44"/>
      <c r="Y2805" s="44"/>
    </row>
    <row r="2806" spans="14:25" ht="15" customHeight="1" x14ac:dyDescent="0.25">
      <c r="N2806" s="44"/>
      <c r="O2806" s="44"/>
      <c r="P2806" s="44"/>
      <c r="Q2806" s="44"/>
      <c r="R2806" s="44"/>
      <c r="S2806" s="44"/>
      <c r="T2806" s="44"/>
      <c r="U2806" s="44"/>
      <c r="V2806" s="44"/>
      <c r="W2806" s="44"/>
      <c r="X2806" s="44"/>
      <c r="Y2806" s="44"/>
    </row>
    <row r="2807" spans="14:25" ht="15" customHeight="1" x14ac:dyDescent="0.25">
      <c r="N2807" s="44"/>
      <c r="O2807" s="44"/>
      <c r="P2807" s="44"/>
      <c r="Q2807" s="44"/>
      <c r="R2807" s="44"/>
      <c r="S2807" s="44"/>
      <c r="T2807" s="44"/>
      <c r="U2807" s="44"/>
      <c r="V2807" s="44"/>
      <c r="W2807" s="44"/>
      <c r="X2807" s="44"/>
      <c r="Y2807" s="44"/>
    </row>
    <row r="2808" spans="14:25" ht="15" customHeight="1" x14ac:dyDescent="0.25">
      <c r="N2808" s="44"/>
      <c r="O2808" s="44"/>
      <c r="P2808" s="44"/>
      <c r="Q2808" s="44"/>
      <c r="R2808" s="44"/>
      <c r="S2808" s="44"/>
      <c r="T2808" s="44"/>
      <c r="U2808" s="44"/>
      <c r="V2808" s="44"/>
      <c r="W2808" s="44"/>
      <c r="X2808" s="44"/>
      <c r="Y2808" s="44"/>
    </row>
    <row r="2809" spans="14:25" ht="15" customHeight="1" x14ac:dyDescent="0.25">
      <c r="N2809" s="44"/>
      <c r="O2809" s="44"/>
      <c r="P2809" s="44"/>
      <c r="Q2809" s="44"/>
      <c r="R2809" s="44"/>
      <c r="S2809" s="44"/>
      <c r="T2809" s="44"/>
      <c r="U2809" s="44"/>
      <c r="V2809" s="44"/>
      <c r="W2809" s="44"/>
      <c r="X2809" s="44"/>
      <c r="Y2809" s="44"/>
    </row>
    <row r="2810" spans="14:25" ht="15" customHeight="1" x14ac:dyDescent="0.25">
      <c r="N2810" s="44"/>
      <c r="O2810" s="44"/>
      <c r="P2810" s="44"/>
      <c r="Q2810" s="44"/>
      <c r="R2810" s="44"/>
      <c r="S2810" s="44"/>
      <c r="T2810" s="44"/>
      <c r="U2810" s="44"/>
      <c r="V2810" s="44"/>
      <c r="W2810" s="44"/>
      <c r="X2810" s="44"/>
      <c r="Y2810" s="44"/>
    </row>
    <row r="2811" spans="14:25" ht="15" customHeight="1" x14ac:dyDescent="0.25">
      <c r="N2811" s="44"/>
      <c r="O2811" s="44"/>
      <c r="P2811" s="44"/>
      <c r="Q2811" s="44"/>
      <c r="R2811" s="44"/>
      <c r="S2811" s="44"/>
      <c r="T2811" s="44"/>
      <c r="U2811" s="44"/>
      <c r="V2811" s="44"/>
      <c r="W2811" s="44"/>
      <c r="X2811" s="44"/>
      <c r="Y2811" s="44"/>
    </row>
    <row r="2812" spans="14:25" ht="15" customHeight="1" x14ac:dyDescent="0.25">
      <c r="N2812" s="44"/>
      <c r="O2812" s="44"/>
      <c r="P2812" s="44"/>
      <c r="Q2812" s="44"/>
      <c r="R2812" s="44"/>
      <c r="S2812" s="44"/>
      <c r="T2812" s="44"/>
      <c r="U2812" s="44"/>
      <c r="V2812" s="44"/>
      <c r="W2812" s="44"/>
      <c r="X2812" s="44"/>
      <c r="Y2812" s="44"/>
    </row>
    <row r="2813" spans="14:25" ht="15" customHeight="1" x14ac:dyDescent="0.25">
      <c r="N2813" s="44"/>
      <c r="O2813" s="44"/>
      <c r="P2813" s="44"/>
      <c r="Q2813" s="44"/>
      <c r="R2813" s="44"/>
      <c r="S2813" s="44"/>
      <c r="T2813" s="44"/>
      <c r="U2813" s="44"/>
      <c r="V2813" s="44"/>
      <c r="W2813" s="44"/>
      <c r="X2813" s="44"/>
      <c r="Y2813" s="44"/>
    </row>
    <row r="2814" spans="14:25" ht="15" customHeight="1" x14ac:dyDescent="0.25">
      <c r="N2814" s="44"/>
      <c r="O2814" s="44"/>
      <c r="P2814" s="44"/>
      <c r="Q2814" s="44"/>
      <c r="R2814" s="44"/>
      <c r="S2814" s="44"/>
      <c r="T2814" s="44"/>
      <c r="U2814" s="44"/>
      <c r="V2814" s="44"/>
      <c r="W2814" s="44"/>
      <c r="X2814" s="44"/>
      <c r="Y2814" s="44"/>
    </row>
    <row r="2815" spans="14:25" ht="15" customHeight="1" x14ac:dyDescent="0.25">
      <c r="N2815" s="44"/>
      <c r="O2815" s="44"/>
      <c r="P2815" s="44"/>
      <c r="Q2815" s="44"/>
      <c r="R2815" s="44"/>
      <c r="S2815" s="44"/>
      <c r="T2815" s="44"/>
      <c r="U2815" s="44"/>
      <c r="V2815" s="44"/>
      <c r="W2815" s="44"/>
      <c r="X2815" s="44"/>
      <c r="Y2815" s="44"/>
    </row>
    <row r="2816" spans="14:25" ht="15" customHeight="1" x14ac:dyDescent="0.25">
      <c r="N2816" s="44"/>
      <c r="O2816" s="44"/>
      <c r="P2816" s="44"/>
      <c r="Q2816" s="44"/>
      <c r="R2816" s="44"/>
      <c r="S2816" s="44"/>
      <c r="T2816" s="44"/>
      <c r="U2816" s="44"/>
      <c r="V2816" s="44"/>
      <c r="W2816" s="44"/>
      <c r="X2816" s="44"/>
      <c r="Y2816" s="44"/>
    </row>
    <row r="2817" spans="14:25" ht="15" customHeight="1" x14ac:dyDescent="0.25">
      <c r="N2817" s="44"/>
      <c r="O2817" s="44"/>
      <c r="P2817" s="44"/>
      <c r="Q2817" s="44"/>
      <c r="R2817" s="44"/>
      <c r="S2817" s="44"/>
      <c r="T2817" s="44"/>
      <c r="U2817" s="44"/>
      <c r="V2817" s="44"/>
      <c r="W2817" s="44"/>
      <c r="X2817" s="44"/>
      <c r="Y2817" s="44"/>
    </row>
    <row r="2818" spans="14:25" ht="15" customHeight="1" x14ac:dyDescent="0.25">
      <c r="N2818" s="44"/>
      <c r="O2818" s="44"/>
      <c r="P2818" s="44"/>
      <c r="Q2818" s="44"/>
      <c r="R2818" s="44"/>
      <c r="S2818" s="44"/>
      <c r="T2818" s="44"/>
      <c r="U2818" s="44"/>
      <c r="V2818" s="44"/>
      <c r="W2818" s="44"/>
      <c r="X2818" s="44"/>
      <c r="Y2818" s="44"/>
    </row>
    <row r="2819" spans="14:25" ht="15" customHeight="1" x14ac:dyDescent="0.25">
      <c r="N2819" s="44"/>
      <c r="O2819" s="44"/>
      <c r="P2819" s="44"/>
      <c r="Q2819" s="44"/>
      <c r="R2819" s="44"/>
      <c r="S2819" s="44"/>
      <c r="T2819" s="44"/>
      <c r="U2819" s="44"/>
      <c r="V2819" s="44"/>
      <c r="W2819" s="44"/>
      <c r="X2819" s="44"/>
      <c r="Y2819" s="44"/>
    </row>
    <row r="2820" spans="14:25" ht="15" customHeight="1" x14ac:dyDescent="0.25">
      <c r="N2820" s="44"/>
      <c r="O2820" s="44"/>
      <c r="P2820" s="44"/>
      <c r="Q2820" s="44"/>
      <c r="R2820" s="44"/>
      <c r="S2820" s="44"/>
      <c r="T2820" s="44"/>
      <c r="U2820" s="44"/>
      <c r="V2820" s="44"/>
      <c r="W2820" s="44"/>
      <c r="X2820" s="44"/>
      <c r="Y2820" s="44"/>
    </row>
    <row r="2821" spans="14:25" ht="15" customHeight="1" x14ac:dyDescent="0.25">
      <c r="N2821" s="44"/>
      <c r="O2821" s="44"/>
      <c r="P2821" s="44"/>
      <c r="Q2821" s="44"/>
      <c r="R2821" s="44"/>
      <c r="S2821" s="44"/>
      <c r="T2821" s="44"/>
      <c r="U2821" s="44"/>
      <c r="V2821" s="44"/>
      <c r="W2821" s="44"/>
      <c r="X2821" s="44"/>
      <c r="Y2821" s="44"/>
    </row>
    <row r="2822" spans="14:25" ht="15" customHeight="1" x14ac:dyDescent="0.25">
      <c r="N2822" s="44"/>
      <c r="O2822" s="44"/>
      <c r="P2822" s="44"/>
      <c r="Q2822" s="44"/>
      <c r="R2822" s="44"/>
      <c r="S2822" s="44"/>
      <c r="T2822" s="44"/>
      <c r="U2822" s="44"/>
      <c r="V2822" s="44"/>
      <c r="W2822" s="44"/>
      <c r="X2822" s="44"/>
      <c r="Y2822" s="44"/>
    </row>
    <row r="2823" spans="14:25" ht="15" customHeight="1" x14ac:dyDescent="0.25">
      <c r="N2823" s="44"/>
      <c r="O2823" s="44"/>
      <c r="P2823" s="44"/>
      <c r="Q2823" s="44"/>
      <c r="R2823" s="44"/>
      <c r="S2823" s="44"/>
      <c r="T2823" s="44"/>
      <c r="U2823" s="44"/>
      <c r="V2823" s="44"/>
      <c r="W2823" s="44"/>
      <c r="X2823" s="44"/>
      <c r="Y2823" s="44"/>
    </row>
    <row r="2824" spans="14:25" ht="15" customHeight="1" x14ac:dyDescent="0.25">
      <c r="N2824" s="44"/>
      <c r="O2824" s="44"/>
      <c r="P2824" s="44"/>
      <c r="Q2824" s="44"/>
      <c r="R2824" s="44"/>
      <c r="S2824" s="44"/>
      <c r="T2824" s="44"/>
      <c r="U2824" s="44"/>
      <c r="V2824" s="44"/>
      <c r="W2824" s="44"/>
      <c r="X2824" s="44"/>
      <c r="Y2824" s="44"/>
    </row>
    <row r="2825" spans="14:25" ht="15" customHeight="1" x14ac:dyDescent="0.25">
      <c r="N2825" s="44"/>
      <c r="O2825" s="44"/>
      <c r="P2825" s="44"/>
      <c r="Q2825" s="44"/>
      <c r="R2825" s="44"/>
      <c r="S2825" s="44"/>
      <c r="T2825" s="44"/>
      <c r="U2825" s="44"/>
      <c r="V2825" s="44"/>
      <c r="W2825" s="44"/>
      <c r="X2825" s="44"/>
      <c r="Y2825" s="44"/>
    </row>
    <row r="2826" spans="14:25" ht="15" customHeight="1" x14ac:dyDescent="0.25">
      <c r="N2826" s="44"/>
      <c r="O2826" s="44"/>
      <c r="P2826" s="44"/>
      <c r="Q2826" s="44"/>
      <c r="R2826" s="44"/>
      <c r="S2826" s="44"/>
      <c r="T2826" s="44"/>
      <c r="U2826" s="44"/>
      <c r="V2826" s="44"/>
      <c r="W2826" s="44"/>
      <c r="X2826" s="44"/>
      <c r="Y2826" s="44"/>
    </row>
    <row r="2827" spans="14:25" ht="15" customHeight="1" x14ac:dyDescent="0.25">
      <c r="N2827" s="44"/>
      <c r="O2827" s="44"/>
      <c r="P2827" s="44"/>
      <c r="Q2827" s="44"/>
      <c r="R2827" s="44"/>
      <c r="S2827" s="44"/>
      <c r="T2827" s="44"/>
      <c r="U2827" s="44"/>
      <c r="V2827" s="44"/>
      <c r="W2827" s="44"/>
      <c r="X2827" s="44"/>
      <c r="Y2827" s="44"/>
    </row>
    <row r="2828" spans="14:25" ht="15" customHeight="1" x14ac:dyDescent="0.25">
      <c r="N2828" s="44"/>
      <c r="O2828" s="44"/>
      <c r="P2828" s="44"/>
      <c r="Q2828" s="44"/>
      <c r="R2828" s="44"/>
      <c r="S2828" s="44"/>
      <c r="T2828" s="44"/>
      <c r="U2828" s="44"/>
      <c r="V2828" s="44"/>
      <c r="W2828" s="44"/>
      <c r="X2828" s="44"/>
      <c r="Y2828" s="44"/>
    </row>
    <row r="2829" spans="14:25" ht="15" customHeight="1" x14ac:dyDescent="0.25">
      <c r="N2829" s="44"/>
      <c r="O2829" s="44"/>
      <c r="P2829" s="44"/>
      <c r="Q2829" s="44"/>
      <c r="R2829" s="44"/>
      <c r="S2829" s="44"/>
      <c r="T2829" s="44"/>
      <c r="U2829" s="44"/>
      <c r="V2829" s="44"/>
      <c r="W2829" s="44"/>
      <c r="X2829" s="44"/>
      <c r="Y2829" s="44"/>
    </row>
    <row r="2830" spans="14:25" ht="15" customHeight="1" x14ac:dyDescent="0.25">
      <c r="N2830" s="44"/>
      <c r="O2830" s="44"/>
      <c r="P2830" s="44"/>
      <c r="Q2830" s="44"/>
      <c r="R2830" s="44"/>
      <c r="S2830" s="44"/>
      <c r="T2830" s="44"/>
      <c r="U2830" s="44"/>
      <c r="V2830" s="44"/>
      <c r="W2830" s="44"/>
      <c r="X2830" s="44"/>
      <c r="Y2830" s="44"/>
    </row>
    <row r="2831" spans="14:25" ht="15" customHeight="1" x14ac:dyDescent="0.25">
      <c r="N2831" s="44"/>
      <c r="O2831" s="44"/>
      <c r="P2831" s="44"/>
      <c r="Q2831" s="44"/>
      <c r="R2831" s="44"/>
      <c r="S2831" s="44"/>
      <c r="T2831" s="44"/>
      <c r="U2831" s="44"/>
      <c r="V2831" s="44"/>
      <c r="W2831" s="44"/>
      <c r="X2831" s="44"/>
      <c r="Y2831" s="44"/>
    </row>
    <row r="2832" spans="14:25" ht="15" customHeight="1" x14ac:dyDescent="0.25">
      <c r="N2832" s="44"/>
      <c r="O2832" s="44"/>
      <c r="P2832" s="44"/>
      <c r="Q2832" s="44"/>
      <c r="R2832" s="44"/>
      <c r="S2832" s="44"/>
      <c r="T2832" s="44"/>
      <c r="U2832" s="44"/>
      <c r="V2832" s="44"/>
      <c r="W2832" s="44"/>
      <c r="X2832" s="44"/>
      <c r="Y2832" s="44"/>
    </row>
    <row r="2833" spans="14:25" ht="15" customHeight="1" x14ac:dyDescent="0.25">
      <c r="N2833" s="44"/>
      <c r="O2833" s="44"/>
      <c r="P2833" s="44"/>
      <c r="Q2833" s="44"/>
      <c r="R2833" s="44"/>
      <c r="S2833" s="44"/>
      <c r="T2833" s="44"/>
      <c r="U2833" s="44"/>
      <c r="V2833" s="44"/>
      <c r="W2833" s="44"/>
      <c r="X2833" s="44"/>
      <c r="Y2833" s="44"/>
    </row>
    <row r="2834" spans="14:25" ht="15" customHeight="1" x14ac:dyDescent="0.25">
      <c r="N2834" s="44"/>
      <c r="O2834" s="44"/>
      <c r="P2834" s="44"/>
      <c r="Q2834" s="44"/>
      <c r="R2834" s="44"/>
      <c r="S2834" s="44"/>
      <c r="T2834" s="44"/>
      <c r="U2834" s="44"/>
      <c r="V2834" s="44"/>
      <c r="W2834" s="44"/>
      <c r="X2834" s="44"/>
      <c r="Y2834" s="44"/>
    </row>
    <row r="2835" spans="14:25" ht="15" customHeight="1" x14ac:dyDescent="0.25">
      <c r="N2835" s="44"/>
      <c r="O2835" s="44"/>
      <c r="P2835" s="44"/>
      <c r="Q2835" s="44"/>
      <c r="R2835" s="44"/>
      <c r="S2835" s="44"/>
      <c r="T2835" s="44"/>
      <c r="U2835" s="44"/>
      <c r="V2835" s="44"/>
      <c r="W2835" s="44"/>
      <c r="X2835" s="44"/>
      <c r="Y2835" s="44"/>
    </row>
    <row r="2836" spans="14:25" ht="15" customHeight="1" x14ac:dyDescent="0.25">
      <c r="N2836" s="44"/>
      <c r="O2836" s="44"/>
      <c r="P2836" s="44"/>
      <c r="Q2836" s="44"/>
      <c r="R2836" s="44"/>
      <c r="S2836" s="44"/>
      <c r="T2836" s="44"/>
      <c r="U2836" s="44"/>
      <c r="V2836" s="44"/>
      <c r="W2836" s="44"/>
      <c r="X2836" s="44"/>
      <c r="Y2836" s="44"/>
    </row>
    <row r="2837" spans="14:25" ht="15" customHeight="1" x14ac:dyDescent="0.25">
      <c r="N2837" s="44"/>
      <c r="O2837" s="44"/>
      <c r="P2837" s="44"/>
      <c r="Q2837" s="44"/>
      <c r="R2837" s="44"/>
      <c r="S2837" s="44"/>
      <c r="T2837" s="44"/>
      <c r="U2837" s="44"/>
      <c r="V2837" s="44"/>
      <c r="W2837" s="44"/>
      <c r="X2837" s="44"/>
      <c r="Y2837" s="44"/>
    </row>
    <row r="2838" spans="14:25" ht="15" customHeight="1" x14ac:dyDescent="0.25">
      <c r="N2838" s="44"/>
      <c r="O2838" s="44"/>
      <c r="P2838" s="44"/>
      <c r="Q2838" s="44"/>
      <c r="R2838" s="44"/>
      <c r="S2838" s="44"/>
      <c r="T2838" s="44"/>
      <c r="U2838" s="44"/>
      <c r="V2838" s="44"/>
      <c r="W2838" s="44"/>
      <c r="X2838" s="44"/>
      <c r="Y2838" s="44"/>
    </row>
    <row r="2839" spans="14:25" ht="15" customHeight="1" x14ac:dyDescent="0.25">
      <c r="N2839" s="44"/>
      <c r="O2839" s="44"/>
      <c r="P2839" s="44"/>
      <c r="Q2839" s="44"/>
      <c r="R2839" s="44"/>
      <c r="S2839" s="44"/>
      <c r="T2839" s="44"/>
      <c r="U2839" s="44"/>
      <c r="V2839" s="44"/>
      <c r="W2839" s="44"/>
      <c r="X2839" s="44"/>
      <c r="Y2839" s="44"/>
    </row>
    <row r="2840" spans="14:25" ht="15" customHeight="1" x14ac:dyDescent="0.25">
      <c r="N2840" s="44"/>
      <c r="O2840" s="44"/>
      <c r="P2840" s="44"/>
      <c r="Q2840" s="44"/>
      <c r="R2840" s="44"/>
      <c r="S2840" s="44"/>
      <c r="T2840" s="44"/>
      <c r="U2840" s="44"/>
      <c r="V2840" s="44"/>
      <c r="W2840" s="44"/>
      <c r="X2840" s="44"/>
      <c r="Y2840" s="44"/>
    </row>
    <row r="2841" spans="14:25" ht="15" customHeight="1" x14ac:dyDescent="0.25">
      <c r="N2841" s="44"/>
      <c r="O2841" s="44"/>
      <c r="P2841" s="44"/>
      <c r="Q2841" s="44"/>
      <c r="R2841" s="44"/>
      <c r="S2841" s="44"/>
      <c r="T2841" s="44"/>
      <c r="U2841" s="44"/>
      <c r="V2841" s="44"/>
      <c r="W2841" s="44"/>
      <c r="X2841" s="44"/>
      <c r="Y2841" s="44"/>
    </row>
    <row r="2842" spans="14:25" ht="15" customHeight="1" x14ac:dyDescent="0.25">
      <c r="N2842" s="44"/>
      <c r="O2842" s="44"/>
      <c r="P2842" s="44"/>
      <c r="Q2842" s="44"/>
      <c r="R2842" s="44"/>
      <c r="S2842" s="44"/>
      <c r="T2842" s="44"/>
      <c r="U2842" s="44"/>
      <c r="V2842" s="44"/>
      <c r="W2842" s="44"/>
      <c r="X2842" s="44"/>
      <c r="Y2842" s="44"/>
    </row>
    <row r="2843" spans="14:25" ht="15" customHeight="1" x14ac:dyDescent="0.25">
      <c r="N2843" s="44"/>
      <c r="O2843" s="44"/>
      <c r="P2843" s="44"/>
      <c r="Q2843" s="44"/>
      <c r="R2843" s="44"/>
      <c r="S2843" s="44"/>
      <c r="T2843" s="44"/>
      <c r="U2843" s="44"/>
      <c r="V2843" s="44"/>
      <c r="W2843" s="44"/>
      <c r="X2843" s="44"/>
      <c r="Y2843" s="44"/>
    </row>
    <row r="2844" spans="14:25" ht="15" customHeight="1" x14ac:dyDescent="0.25">
      <c r="N2844" s="44"/>
      <c r="O2844" s="44"/>
      <c r="P2844" s="44"/>
      <c r="Q2844" s="44"/>
      <c r="R2844" s="44"/>
      <c r="S2844" s="44"/>
      <c r="T2844" s="44"/>
      <c r="U2844" s="44"/>
      <c r="V2844" s="44"/>
      <c r="W2844" s="44"/>
      <c r="X2844" s="44"/>
      <c r="Y2844" s="44"/>
    </row>
    <row r="2845" spans="14:25" ht="15" customHeight="1" x14ac:dyDescent="0.25">
      <c r="N2845" s="44"/>
      <c r="O2845" s="44"/>
      <c r="P2845" s="44"/>
      <c r="Q2845" s="44"/>
      <c r="R2845" s="44"/>
      <c r="S2845" s="44"/>
      <c r="T2845" s="44"/>
      <c r="U2845" s="44"/>
      <c r="V2845" s="44"/>
      <c r="W2845" s="44"/>
      <c r="X2845" s="44"/>
      <c r="Y2845" s="44"/>
    </row>
    <row r="2846" spans="14:25" ht="15" customHeight="1" x14ac:dyDescent="0.25">
      <c r="N2846" s="44"/>
      <c r="O2846" s="44"/>
      <c r="P2846" s="44"/>
      <c r="Q2846" s="44"/>
      <c r="R2846" s="44"/>
      <c r="S2846" s="44"/>
      <c r="T2846" s="44"/>
      <c r="U2846" s="44"/>
      <c r="V2846" s="44"/>
      <c r="W2846" s="44"/>
      <c r="X2846" s="44"/>
      <c r="Y2846" s="44"/>
    </row>
    <row r="2847" spans="14:25" ht="15" customHeight="1" x14ac:dyDescent="0.25">
      <c r="N2847" s="44"/>
      <c r="O2847" s="44"/>
      <c r="P2847" s="44"/>
      <c r="Q2847" s="44"/>
      <c r="R2847" s="44"/>
      <c r="S2847" s="44"/>
      <c r="T2847" s="44"/>
      <c r="U2847" s="44"/>
      <c r="V2847" s="44"/>
      <c r="W2847" s="44"/>
      <c r="X2847" s="44"/>
      <c r="Y2847" s="44"/>
    </row>
    <row r="2848" spans="14:25" ht="15" customHeight="1" x14ac:dyDescent="0.25">
      <c r="N2848" s="44"/>
      <c r="O2848" s="44"/>
      <c r="P2848" s="44"/>
      <c r="Q2848" s="44"/>
      <c r="R2848" s="44"/>
      <c r="S2848" s="44"/>
      <c r="T2848" s="44"/>
      <c r="U2848" s="44"/>
      <c r="V2848" s="44"/>
      <c r="W2848" s="44"/>
      <c r="X2848" s="44"/>
      <c r="Y2848" s="44"/>
    </row>
    <row r="2849" spans="14:25" ht="15" customHeight="1" x14ac:dyDescent="0.25">
      <c r="N2849" s="44"/>
      <c r="O2849" s="44"/>
      <c r="P2849" s="44"/>
      <c r="Q2849" s="44"/>
      <c r="R2849" s="44"/>
      <c r="S2849" s="44"/>
      <c r="T2849" s="44"/>
      <c r="U2849" s="44"/>
      <c r="V2849" s="44"/>
      <c r="W2849" s="44"/>
      <c r="X2849" s="44"/>
      <c r="Y2849" s="44"/>
    </row>
    <row r="2850" spans="14:25" ht="15" customHeight="1" x14ac:dyDescent="0.25">
      <c r="N2850" s="44"/>
      <c r="O2850" s="44"/>
      <c r="P2850" s="44"/>
      <c r="Q2850" s="44"/>
      <c r="R2850" s="44"/>
      <c r="S2850" s="44"/>
      <c r="T2850" s="44"/>
      <c r="U2850" s="44"/>
      <c r="V2850" s="44"/>
      <c r="W2850" s="44"/>
      <c r="X2850" s="44"/>
      <c r="Y2850" s="44"/>
    </row>
    <row r="2851" spans="14:25" ht="15" customHeight="1" x14ac:dyDescent="0.25">
      <c r="N2851" s="44"/>
      <c r="O2851" s="44"/>
      <c r="P2851" s="44"/>
      <c r="Q2851" s="44"/>
      <c r="R2851" s="44"/>
      <c r="S2851" s="44"/>
      <c r="T2851" s="44"/>
      <c r="U2851" s="44"/>
      <c r="V2851" s="44"/>
      <c r="W2851" s="44"/>
      <c r="X2851" s="44"/>
      <c r="Y2851" s="44"/>
    </row>
    <row r="2852" spans="14:25" ht="15" customHeight="1" x14ac:dyDescent="0.25">
      <c r="N2852" s="44"/>
      <c r="O2852" s="44"/>
      <c r="P2852" s="44"/>
      <c r="Q2852" s="44"/>
      <c r="R2852" s="44"/>
      <c r="S2852" s="44"/>
      <c r="T2852" s="44"/>
      <c r="U2852" s="44"/>
      <c r="V2852" s="44"/>
      <c r="W2852" s="44"/>
      <c r="X2852" s="44"/>
      <c r="Y2852" s="44"/>
    </row>
    <row r="2853" spans="14:25" ht="15" customHeight="1" x14ac:dyDescent="0.25">
      <c r="N2853" s="44"/>
      <c r="O2853" s="44"/>
      <c r="P2853" s="44"/>
      <c r="Q2853" s="44"/>
      <c r="R2853" s="44"/>
      <c r="S2853" s="44"/>
      <c r="T2853" s="44"/>
      <c r="U2853" s="44"/>
      <c r="V2853" s="44"/>
      <c r="W2853" s="44"/>
      <c r="X2853" s="44"/>
      <c r="Y2853" s="44"/>
    </row>
    <row r="2854" spans="14:25" ht="15" customHeight="1" x14ac:dyDescent="0.25">
      <c r="N2854" s="44"/>
      <c r="O2854" s="44"/>
      <c r="P2854" s="44"/>
      <c r="Q2854" s="44"/>
      <c r="R2854" s="44"/>
      <c r="S2854" s="44"/>
      <c r="T2854" s="44"/>
      <c r="U2854" s="44"/>
      <c r="V2854" s="44"/>
      <c r="W2854" s="44"/>
      <c r="X2854" s="44"/>
      <c r="Y2854" s="44"/>
    </row>
    <row r="2855" spans="14:25" ht="15" customHeight="1" x14ac:dyDescent="0.25">
      <c r="N2855" s="44"/>
      <c r="O2855" s="44"/>
      <c r="P2855" s="44"/>
      <c r="Q2855" s="44"/>
      <c r="R2855" s="44"/>
      <c r="S2855" s="44"/>
      <c r="T2855" s="44"/>
      <c r="U2855" s="44"/>
      <c r="V2855" s="44"/>
      <c r="W2855" s="44"/>
      <c r="X2855" s="44"/>
      <c r="Y2855" s="44"/>
    </row>
    <row r="2856" spans="14:25" ht="15" customHeight="1" x14ac:dyDescent="0.25">
      <c r="N2856" s="44"/>
      <c r="O2856" s="44"/>
      <c r="P2856" s="44"/>
      <c r="Q2856" s="44"/>
      <c r="R2856" s="44"/>
      <c r="S2856" s="44"/>
      <c r="T2856" s="44"/>
      <c r="U2856" s="44"/>
      <c r="V2856" s="44"/>
      <c r="W2856" s="44"/>
      <c r="X2856" s="44"/>
      <c r="Y2856" s="44"/>
    </row>
    <row r="2857" spans="14:25" ht="15" customHeight="1" x14ac:dyDescent="0.25">
      <c r="N2857" s="44"/>
      <c r="O2857" s="44"/>
      <c r="P2857" s="44"/>
      <c r="Q2857" s="44"/>
      <c r="R2857" s="44"/>
      <c r="S2857" s="44"/>
      <c r="T2857" s="44"/>
      <c r="U2857" s="44"/>
      <c r="V2857" s="44"/>
      <c r="W2857" s="44"/>
      <c r="X2857" s="44"/>
      <c r="Y2857" s="44"/>
    </row>
    <row r="2858" spans="14:25" ht="15" customHeight="1" x14ac:dyDescent="0.25">
      <c r="N2858" s="44"/>
      <c r="O2858" s="44"/>
      <c r="P2858" s="44"/>
      <c r="Q2858" s="44"/>
      <c r="R2858" s="44"/>
      <c r="S2858" s="44"/>
      <c r="T2858" s="44"/>
      <c r="U2858" s="44"/>
      <c r="V2858" s="44"/>
      <c r="W2858" s="44"/>
      <c r="X2858" s="44"/>
      <c r="Y2858" s="44"/>
    </row>
    <row r="2859" spans="14:25" ht="15" customHeight="1" x14ac:dyDescent="0.25">
      <c r="N2859" s="44"/>
      <c r="O2859" s="44"/>
      <c r="P2859" s="44"/>
      <c r="Q2859" s="44"/>
      <c r="R2859" s="44"/>
      <c r="S2859" s="44"/>
      <c r="T2859" s="44"/>
      <c r="U2859" s="44"/>
      <c r="V2859" s="44"/>
      <c r="W2859" s="44"/>
      <c r="X2859" s="44"/>
      <c r="Y2859" s="44"/>
    </row>
    <row r="2860" spans="14:25" ht="15" customHeight="1" x14ac:dyDescent="0.25">
      <c r="N2860" s="44"/>
      <c r="O2860" s="44"/>
      <c r="P2860" s="44"/>
      <c r="Q2860" s="44"/>
      <c r="R2860" s="44"/>
      <c r="S2860" s="44"/>
      <c r="T2860" s="44"/>
      <c r="U2860" s="44"/>
      <c r="V2860" s="44"/>
      <c r="W2860" s="44"/>
      <c r="X2860" s="44"/>
      <c r="Y2860" s="44"/>
    </row>
    <row r="2861" spans="14:25" ht="15" customHeight="1" x14ac:dyDescent="0.25">
      <c r="N2861" s="44"/>
      <c r="O2861" s="44"/>
      <c r="P2861" s="44"/>
      <c r="Q2861" s="44"/>
      <c r="R2861" s="44"/>
      <c r="S2861" s="44"/>
      <c r="T2861" s="44"/>
      <c r="U2861" s="44"/>
      <c r="V2861" s="44"/>
      <c r="W2861" s="44"/>
      <c r="X2861" s="44"/>
      <c r="Y2861" s="44"/>
    </row>
    <row r="2862" spans="14:25" ht="15" customHeight="1" x14ac:dyDescent="0.25">
      <c r="N2862" s="44"/>
      <c r="O2862" s="44"/>
      <c r="P2862" s="44"/>
      <c r="Q2862" s="44"/>
      <c r="R2862" s="44"/>
      <c r="S2862" s="44"/>
      <c r="T2862" s="44"/>
      <c r="U2862" s="44"/>
      <c r="V2862" s="44"/>
      <c r="W2862" s="44"/>
      <c r="X2862" s="44"/>
      <c r="Y2862" s="44"/>
    </row>
    <row r="2863" spans="14:25" ht="15" customHeight="1" x14ac:dyDescent="0.25">
      <c r="N2863" s="44"/>
      <c r="O2863" s="44"/>
      <c r="P2863" s="44"/>
      <c r="Q2863" s="44"/>
      <c r="R2863" s="44"/>
      <c r="S2863" s="44"/>
      <c r="T2863" s="44"/>
      <c r="U2863" s="44"/>
      <c r="V2863" s="44"/>
      <c r="W2863" s="44"/>
      <c r="X2863" s="44"/>
      <c r="Y2863" s="44"/>
    </row>
    <row r="2864" spans="14:25" ht="15" customHeight="1" x14ac:dyDescent="0.25">
      <c r="N2864" s="44"/>
      <c r="O2864" s="44"/>
      <c r="P2864" s="44"/>
      <c r="Q2864" s="44"/>
      <c r="R2864" s="44"/>
      <c r="S2864" s="44"/>
      <c r="T2864" s="44"/>
      <c r="U2864" s="44"/>
      <c r="V2864" s="44"/>
      <c r="W2864" s="44"/>
      <c r="X2864" s="44"/>
      <c r="Y2864" s="44"/>
    </row>
    <row r="2865" spans="14:25" ht="15" customHeight="1" x14ac:dyDescent="0.25">
      <c r="N2865" s="44"/>
      <c r="O2865" s="44"/>
      <c r="P2865" s="44"/>
      <c r="Q2865" s="44"/>
      <c r="R2865" s="44"/>
      <c r="S2865" s="44"/>
      <c r="T2865" s="44"/>
      <c r="U2865" s="44"/>
      <c r="V2865" s="44"/>
      <c r="W2865" s="44"/>
      <c r="X2865" s="44"/>
      <c r="Y2865" s="44"/>
    </row>
    <row r="2866" spans="14:25" ht="15" customHeight="1" x14ac:dyDescent="0.25">
      <c r="N2866" s="44"/>
      <c r="O2866" s="44"/>
      <c r="P2866" s="44"/>
      <c r="Q2866" s="44"/>
      <c r="R2866" s="44"/>
      <c r="S2866" s="44"/>
      <c r="T2866" s="44"/>
      <c r="U2866" s="44"/>
      <c r="V2866" s="44"/>
      <c r="W2866" s="44"/>
      <c r="X2866" s="44"/>
      <c r="Y2866" s="44"/>
    </row>
    <row r="2867" spans="14:25" ht="15" customHeight="1" x14ac:dyDescent="0.25">
      <c r="N2867" s="44"/>
      <c r="O2867" s="44"/>
      <c r="P2867" s="44"/>
      <c r="Q2867" s="44"/>
      <c r="R2867" s="44"/>
      <c r="S2867" s="44"/>
      <c r="T2867" s="44"/>
      <c r="U2867" s="44"/>
      <c r="V2867" s="44"/>
      <c r="W2867" s="44"/>
      <c r="X2867" s="44"/>
      <c r="Y2867" s="44"/>
    </row>
    <row r="2868" spans="14:25" ht="15" customHeight="1" x14ac:dyDescent="0.25">
      <c r="N2868" s="44"/>
      <c r="O2868" s="44"/>
      <c r="P2868" s="44"/>
      <c r="Q2868" s="44"/>
      <c r="R2868" s="44"/>
      <c r="S2868" s="44"/>
      <c r="T2868" s="44"/>
      <c r="U2868" s="44"/>
      <c r="V2868" s="44"/>
      <c r="W2868" s="44"/>
      <c r="X2868" s="44"/>
      <c r="Y2868" s="44"/>
    </row>
    <row r="2869" spans="14:25" ht="15" customHeight="1" x14ac:dyDescent="0.25">
      <c r="N2869" s="44"/>
      <c r="O2869" s="44"/>
      <c r="P2869" s="44"/>
      <c r="Q2869" s="44"/>
      <c r="R2869" s="44"/>
      <c r="S2869" s="44"/>
      <c r="T2869" s="44"/>
      <c r="U2869" s="44"/>
      <c r="V2869" s="44"/>
      <c r="W2869" s="44"/>
      <c r="X2869" s="44"/>
      <c r="Y2869" s="44"/>
    </row>
    <row r="2870" spans="14:25" ht="15" customHeight="1" x14ac:dyDescent="0.25">
      <c r="N2870" s="44"/>
      <c r="O2870" s="44"/>
      <c r="P2870" s="44"/>
      <c r="Q2870" s="44"/>
      <c r="R2870" s="44"/>
      <c r="S2870" s="44"/>
      <c r="T2870" s="44"/>
      <c r="U2870" s="44"/>
      <c r="V2870" s="44"/>
      <c r="W2870" s="44"/>
      <c r="X2870" s="44"/>
      <c r="Y2870" s="44"/>
    </row>
    <row r="2871" spans="14:25" ht="15" customHeight="1" x14ac:dyDescent="0.25">
      <c r="N2871" s="44"/>
      <c r="O2871" s="44"/>
      <c r="P2871" s="44"/>
      <c r="Q2871" s="44"/>
      <c r="R2871" s="44"/>
      <c r="S2871" s="44"/>
      <c r="T2871" s="44"/>
      <c r="U2871" s="44"/>
      <c r="V2871" s="44"/>
      <c r="W2871" s="44"/>
      <c r="X2871" s="44"/>
      <c r="Y2871" s="44"/>
    </row>
    <row r="2872" spans="14:25" ht="15" customHeight="1" x14ac:dyDescent="0.25">
      <c r="N2872" s="44"/>
      <c r="O2872" s="44"/>
      <c r="P2872" s="44"/>
      <c r="Q2872" s="44"/>
      <c r="R2872" s="44"/>
      <c r="S2872" s="44"/>
      <c r="T2872" s="44"/>
      <c r="U2872" s="44"/>
      <c r="V2872" s="44"/>
      <c r="W2872" s="44"/>
      <c r="X2872" s="44"/>
      <c r="Y2872" s="44"/>
    </row>
    <row r="2873" spans="14:25" ht="15" customHeight="1" x14ac:dyDescent="0.25">
      <c r="N2873" s="44"/>
      <c r="O2873" s="44"/>
      <c r="P2873" s="44"/>
      <c r="Q2873" s="44"/>
      <c r="R2873" s="44"/>
      <c r="S2873" s="44"/>
      <c r="T2873" s="44"/>
      <c r="U2873" s="44"/>
      <c r="V2873" s="44"/>
      <c r="W2873" s="44"/>
      <c r="X2873" s="44"/>
      <c r="Y2873" s="44"/>
    </row>
    <row r="2874" spans="14:25" ht="15" customHeight="1" x14ac:dyDescent="0.25">
      <c r="N2874" s="44"/>
      <c r="O2874" s="44"/>
      <c r="P2874" s="44"/>
      <c r="Q2874" s="44"/>
      <c r="R2874" s="44"/>
      <c r="S2874" s="44"/>
      <c r="T2874" s="44"/>
      <c r="U2874" s="44"/>
      <c r="V2874" s="44"/>
      <c r="W2874" s="44"/>
      <c r="X2874" s="44"/>
      <c r="Y2874" s="44"/>
    </row>
    <row r="2875" spans="14:25" ht="15" customHeight="1" x14ac:dyDescent="0.25">
      <c r="N2875" s="44"/>
      <c r="O2875" s="44"/>
      <c r="P2875" s="44"/>
      <c r="Q2875" s="44"/>
      <c r="R2875" s="44"/>
      <c r="S2875" s="44"/>
      <c r="T2875" s="44"/>
      <c r="U2875" s="44"/>
      <c r="V2875" s="44"/>
      <c r="W2875" s="44"/>
      <c r="X2875" s="44"/>
      <c r="Y2875" s="44"/>
    </row>
    <row r="2876" spans="14:25" ht="15" customHeight="1" x14ac:dyDescent="0.25">
      <c r="N2876" s="44"/>
      <c r="O2876" s="44"/>
      <c r="P2876" s="44"/>
      <c r="Q2876" s="44"/>
      <c r="R2876" s="44"/>
      <c r="S2876" s="44"/>
      <c r="T2876" s="44"/>
      <c r="U2876" s="44"/>
      <c r="V2876" s="44"/>
      <c r="W2876" s="44"/>
      <c r="X2876" s="44"/>
      <c r="Y2876" s="44"/>
    </row>
    <row r="2877" spans="14:25" ht="15" customHeight="1" x14ac:dyDescent="0.25">
      <c r="N2877" s="44"/>
      <c r="O2877" s="44"/>
      <c r="P2877" s="44"/>
      <c r="Q2877" s="44"/>
      <c r="R2877" s="44"/>
      <c r="S2877" s="44"/>
      <c r="T2877" s="44"/>
      <c r="U2877" s="44"/>
      <c r="V2877" s="44"/>
      <c r="W2877" s="44"/>
      <c r="X2877" s="44"/>
      <c r="Y2877" s="44"/>
    </row>
    <row r="2878" spans="14:25" ht="15" customHeight="1" x14ac:dyDescent="0.25">
      <c r="N2878" s="44"/>
      <c r="O2878" s="44"/>
      <c r="P2878" s="44"/>
      <c r="Q2878" s="44"/>
      <c r="R2878" s="44"/>
      <c r="S2878" s="44"/>
      <c r="T2878" s="44"/>
      <c r="U2878" s="44"/>
      <c r="V2878" s="44"/>
      <c r="W2878" s="44"/>
      <c r="X2878" s="44"/>
      <c r="Y2878" s="44"/>
    </row>
    <row r="2879" spans="14:25" ht="15" customHeight="1" x14ac:dyDescent="0.25">
      <c r="N2879" s="44"/>
      <c r="O2879" s="44"/>
      <c r="P2879" s="44"/>
      <c r="Q2879" s="44"/>
      <c r="R2879" s="44"/>
      <c r="S2879" s="44"/>
      <c r="T2879" s="44"/>
      <c r="U2879" s="44"/>
      <c r="V2879" s="44"/>
      <c r="W2879" s="44"/>
      <c r="X2879" s="44"/>
      <c r="Y2879" s="44"/>
    </row>
    <row r="2880" spans="14:25" ht="15" customHeight="1" x14ac:dyDescent="0.25">
      <c r="N2880" s="44"/>
      <c r="O2880" s="44"/>
      <c r="P2880" s="44"/>
      <c r="Q2880" s="44"/>
      <c r="R2880" s="44"/>
      <c r="S2880" s="44"/>
      <c r="T2880" s="44"/>
      <c r="U2880" s="44"/>
      <c r="V2880" s="44"/>
      <c r="W2880" s="44"/>
      <c r="X2880" s="44"/>
      <c r="Y2880" s="44"/>
    </row>
    <row r="2881" spans="14:25" ht="15" customHeight="1" x14ac:dyDescent="0.25">
      <c r="N2881" s="44"/>
      <c r="O2881" s="44"/>
      <c r="P2881" s="44"/>
      <c r="Q2881" s="44"/>
      <c r="R2881" s="44"/>
      <c r="S2881" s="44"/>
      <c r="T2881" s="44"/>
      <c r="U2881" s="44"/>
      <c r="V2881" s="44"/>
      <c r="W2881" s="44"/>
      <c r="X2881" s="44"/>
      <c r="Y2881" s="44"/>
    </row>
    <row r="2882" spans="14:25" ht="15" customHeight="1" x14ac:dyDescent="0.25">
      <c r="N2882" s="44"/>
      <c r="O2882" s="44"/>
      <c r="P2882" s="44"/>
      <c r="Q2882" s="44"/>
      <c r="R2882" s="44"/>
      <c r="S2882" s="44"/>
      <c r="T2882" s="44"/>
      <c r="U2882" s="44"/>
      <c r="V2882" s="44"/>
      <c r="W2882" s="44"/>
      <c r="X2882" s="44"/>
      <c r="Y2882" s="44"/>
    </row>
    <row r="2883" spans="14:25" ht="15" customHeight="1" x14ac:dyDescent="0.25">
      <c r="N2883" s="44"/>
      <c r="O2883" s="44"/>
      <c r="P2883" s="44"/>
      <c r="Q2883" s="44"/>
      <c r="R2883" s="44"/>
      <c r="S2883" s="44"/>
      <c r="T2883" s="44"/>
      <c r="U2883" s="44"/>
      <c r="V2883" s="44"/>
      <c r="W2883" s="44"/>
      <c r="X2883" s="44"/>
      <c r="Y2883" s="44"/>
    </row>
    <row r="2884" spans="14:25" ht="15" customHeight="1" x14ac:dyDescent="0.25">
      <c r="N2884" s="44"/>
      <c r="O2884" s="44"/>
      <c r="P2884" s="44"/>
      <c r="Q2884" s="44"/>
      <c r="R2884" s="44"/>
      <c r="S2884" s="44"/>
      <c r="T2884" s="44"/>
      <c r="U2884" s="44"/>
      <c r="V2884" s="44"/>
      <c r="W2884" s="44"/>
      <c r="X2884" s="44"/>
      <c r="Y2884" s="44"/>
    </row>
    <row r="2885" spans="14:25" ht="15" customHeight="1" x14ac:dyDescent="0.25">
      <c r="N2885" s="44"/>
      <c r="O2885" s="44"/>
      <c r="P2885" s="44"/>
      <c r="Q2885" s="44"/>
      <c r="R2885" s="44"/>
      <c r="S2885" s="44"/>
      <c r="T2885" s="44"/>
      <c r="U2885" s="44"/>
      <c r="V2885" s="44"/>
      <c r="W2885" s="44"/>
      <c r="X2885" s="44"/>
      <c r="Y2885" s="44"/>
    </row>
    <row r="2886" spans="14:25" ht="15" customHeight="1" x14ac:dyDescent="0.25">
      <c r="N2886" s="44"/>
      <c r="O2886" s="44"/>
      <c r="P2886" s="44"/>
      <c r="Q2886" s="44"/>
      <c r="R2886" s="44"/>
      <c r="S2886" s="44"/>
      <c r="T2886" s="44"/>
      <c r="U2886" s="44"/>
      <c r="V2886" s="44"/>
      <c r="W2886" s="44"/>
      <c r="X2886" s="44"/>
      <c r="Y2886" s="44"/>
    </row>
    <row r="2887" spans="14:25" ht="15" customHeight="1" x14ac:dyDescent="0.25">
      <c r="N2887" s="44"/>
      <c r="O2887" s="44"/>
      <c r="P2887" s="44"/>
      <c r="Q2887" s="44"/>
      <c r="R2887" s="44"/>
      <c r="S2887" s="44"/>
      <c r="T2887" s="44"/>
      <c r="U2887" s="44"/>
      <c r="V2887" s="44"/>
      <c r="W2887" s="44"/>
      <c r="X2887" s="44"/>
      <c r="Y2887" s="44"/>
    </row>
    <row r="2888" spans="14:25" ht="15" customHeight="1" x14ac:dyDescent="0.25">
      <c r="N2888" s="44"/>
      <c r="O2888" s="44"/>
      <c r="P2888" s="44"/>
      <c r="Q2888" s="44"/>
      <c r="R2888" s="44"/>
      <c r="S2888" s="44"/>
      <c r="T2888" s="44"/>
      <c r="U2888" s="44"/>
      <c r="V2888" s="44"/>
      <c r="W2888" s="44"/>
      <c r="X2888" s="44"/>
      <c r="Y2888" s="44"/>
    </row>
    <row r="2889" spans="14:25" ht="15" customHeight="1" x14ac:dyDescent="0.25">
      <c r="N2889" s="44"/>
      <c r="O2889" s="44"/>
      <c r="P2889" s="44"/>
      <c r="Q2889" s="44"/>
      <c r="R2889" s="44"/>
      <c r="S2889" s="44"/>
      <c r="T2889" s="44"/>
      <c r="U2889" s="44"/>
      <c r="V2889" s="44"/>
      <c r="W2889" s="44"/>
      <c r="X2889" s="44"/>
      <c r="Y2889" s="44"/>
    </row>
    <row r="2890" spans="14:25" ht="15" customHeight="1" x14ac:dyDescent="0.25">
      <c r="N2890" s="44"/>
      <c r="O2890" s="44"/>
      <c r="P2890" s="44"/>
      <c r="Q2890" s="44"/>
      <c r="R2890" s="44"/>
      <c r="S2890" s="44"/>
      <c r="T2890" s="44"/>
      <c r="U2890" s="44"/>
      <c r="V2890" s="44"/>
      <c r="W2890" s="44"/>
      <c r="X2890" s="44"/>
      <c r="Y2890" s="44"/>
    </row>
    <row r="2891" spans="14:25" ht="15" customHeight="1" x14ac:dyDescent="0.25">
      <c r="N2891" s="44"/>
      <c r="O2891" s="44"/>
      <c r="P2891" s="44"/>
      <c r="Q2891" s="44"/>
      <c r="R2891" s="44"/>
      <c r="S2891" s="44"/>
      <c r="T2891" s="44"/>
      <c r="U2891" s="44"/>
      <c r="V2891" s="44"/>
      <c r="W2891" s="44"/>
      <c r="X2891" s="44"/>
      <c r="Y2891" s="44"/>
    </row>
    <row r="2892" spans="14:25" ht="15" customHeight="1" x14ac:dyDescent="0.25">
      <c r="N2892" s="44"/>
      <c r="O2892" s="44"/>
      <c r="P2892" s="44"/>
      <c r="Q2892" s="44"/>
      <c r="R2892" s="44"/>
      <c r="S2892" s="44"/>
      <c r="T2892" s="44"/>
      <c r="U2892" s="44"/>
      <c r="V2892" s="44"/>
      <c r="W2892" s="44"/>
      <c r="X2892" s="44"/>
      <c r="Y2892" s="44"/>
    </row>
    <row r="2893" spans="14:25" ht="15" customHeight="1" x14ac:dyDescent="0.25">
      <c r="N2893" s="44"/>
      <c r="O2893" s="44"/>
      <c r="P2893" s="44"/>
      <c r="Q2893" s="44"/>
      <c r="R2893" s="44"/>
      <c r="S2893" s="44"/>
      <c r="T2893" s="44"/>
      <c r="U2893" s="44"/>
      <c r="V2893" s="44"/>
      <c r="W2893" s="44"/>
      <c r="X2893" s="44"/>
      <c r="Y2893" s="44"/>
    </row>
    <row r="2894" spans="14:25" ht="15" customHeight="1" x14ac:dyDescent="0.25">
      <c r="N2894" s="44"/>
      <c r="O2894" s="44"/>
      <c r="P2894" s="44"/>
      <c r="Q2894" s="44"/>
      <c r="R2894" s="44"/>
      <c r="S2894" s="44"/>
      <c r="T2894" s="44"/>
      <c r="U2894" s="44"/>
      <c r="V2894" s="44"/>
      <c r="W2894" s="44"/>
      <c r="X2894" s="44"/>
      <c r="Y2894" s="44"/>
    </row>
    <row r="2895" spans="14:25" ht="15" customHeight="1" x14ac:dyDescent="0.25">
      <c r="N2895" s="44"/>
      <c r="O2895" s="44"/>
      <c r="P2895" s="44"/>
      <c r="Q2895" s="44"/>
      <c r="R2895" s="44"/>
      <c r="S2895" s="44"/>
      <c r="T2895" s="44"/>
      <c r="U2895" s="44"/>
      <c r="V2895" s="44"/>
      <c r="W2895" s="44"/>
      <c r="X2895" s="44"/>
      <c r="Y2895" s="44"/>
    </row>
    <row r="2896" spans="14:25" ht="15" customHeight="1" x14ac:dyDescent="0.25">
      <c r="N2896" s="44"/>
      <c r="O2896" s="44"/>
      <c r="P2896" s="44"/>
      <c r="Q2896" s="44"/>
      <c r="R2896" s="44"/>
      <c r="S2896" s="44"/>
      <c r="T2896" s="44"/>
      <c r="U2896" s="44"/>
      <c r="V2896" s="44"/>
      <c r="W2896" s="44"/>
      <c r="X2896" s="44"/>
      <c r="Y2896" s="44"/>
    </row>
    <row r="2897" spans="14:25" ht="15" customHeight="1" x14ac:dyDescent="0.25">
      <c r="N2897" s="44"/>
      <c r="O2897" s="44"/>
      <c r="P2897" s="44"/>
      <c r="Q2897" s="44"/>
      <c r="R2897" s="44"/>
      <c r="S2897" s="44"/>
      <c r="T2897" s="44"/>
      <c r="U2897" s="44"/>
      <c r="V2897" s="44"/>
      <c r="W2897" s="44"/>
      <c r="X2897" s="44"/>
      <c r="Y2897" s="44"/>
    </row>
    <row r="2898" spans="14:25" ht="15" customHeight="1" x14ac:dyDescent="0.25">
      <c r="N2898" s="44"/>
      <c r="O2898" s="44"/>
      <c r="P2898" s="44"/>
      <c r="Q2898" s="44"/>
      <c r="R2898" s="44"/>
      <c r="S2898" s="44"/>
      <c r="T2898" s="44"/>
      <c r="U2898" s="44"/>
      <c r="V2898" s="44"/>
      <c r="W2898" s="44"/>
      <c r="X2898" s="44"/>
      <c r="Y2898" s="44"/>
    </row>
    <row r="2899" spans="14:25" ht="15" customHeight="1" x14ac:dyDescent="0.25">
      <c r="N2899" s="44"/>
      <c r="O2899" s="44"/>
      <c r="P2899" s="44"/>
      <c r="Q2899" s="44"/>
      <c r="R2899" s="44"/>
      <c r="S2899" s="44"/>
      <c r="T2899" s="44"/>
      <c r="U2899" s="44"/>
      <c r="V2899" s="44"/>
      <c r="W2899" s="44"/>
      <c r="X2899" s="44"/>
      <c r="Y2899" s="44"/>
    </row>
    <row r="2900" spans="14:25" ht="15" customHeight="1" x14ac:dyDescent="0.25">
      <c r="N2900" s="44"/>
      <c r="O2900" s="44"/>
      <c r="P2900" s="44"/>
      <c r="Q2900" s="44"/>
      <c r="R2900" s="44"/>
      <c r="S2900" s="44"/>
      <c r="T2900" s="44"/>
      <c r="U2900" s="44"/>
      <c r="V2900" s="44"/>
      <c r="W2900" s="44"/>
      <c r="X2900" s="44"/>
      <c r="Y2900" s="44"/>
    </row>
    <row r="2901" spans="14:25" ht="15" customHeight="1" x14ac:dyDescent="0.25">
      <c r="N2901" s="44"/>
      <c r="O2901" s="44"/>
      <c r="P2901" s="44"/>
      <c r="Q2901" s="44"/>
      <c r="R2901" s="44"/>
      <c r="S2901" s="44"/>
      <c r="T2901" s="44"/>
      <c r="U2901" s="44"/>
      <c r="V2901" s="44"/>
      <c r="W2901" s="44"/>
      <c r="X2901" s="44"/>
      <c r="Y2901" s="44"/>
    </row>
    <row r="2902" spans="14:25" ht="15" customHeight="1" x14ac:dyDescent="0.25">
      <c r="N2902" s="44"/>
      <c r="O2902" s="44"/>
      <c r="P2902" s="44"/>
      <c r="Q2902" s="44"/>
      <c r="R2902" s="44"/>
      <c r="S2902" s="44"/>
      <c r="T2902" s="44"/>
      <c r="U2902" s="44"/>
      <c r="V2902" s="44"/>
      <c r="W2902" s="44"/>
      <c r="X2902" s="44"/>
      <c r="Y2902" s="44"/>
    </row>
    <row r="2903" spans="14:25" ht="15" customHeight="1" x14ac:dyDescent="0.25">
      <c r="N2903" s="44"/>
      <c r="O2903" s="44"/>
      <c r="P2903" s="44"/>
      <c r="Q2903" s="44"/>
      <c r="R2903" s="44"/>
      <c r="S2903" s="44"/>
      <c r="T2903" s="44"/>
      <c r="U2903" s="44"/>
      <c r="V2903" s="44"/>
      <c r="W2903" s="44"/>
      <c r="X2903" s="44"/>
      <c r="Y2903" s="44"/>
    </row>
    <row r="2904" spans="14:25" ht="15" customHeight="1" x14ac:dyDescent="0.25">
      <c r="N2904" s="44"/>
      <c r="O2904" s="44"/>
      <c r="P2904" s="44"/>
      <c r="Q2904" s="44"/>
      <c r="R2904" s="44"/>
      <c r="S2904" s="44"/>
      <c r="T2904" s="44"/>
      <c r="U2904" s="44"/>
      <c r="V2904" s="44"/>
      <c r="W2904" s="44"/>
      <c r="X2904" s="44"/>
      <c r="Y2904" s="44"/>
    </row>
    <row r="2905" spans="14:25" ht="15" customHeight="1" x14ac:dyDescent="0.25">
      <c r="N2905" s="44"/>
      <c r="O2905" s="44"/>
      <c r="P2905" s="44"/>
      <c r="Q2905" s="44"/>
      <c r="R2905" s="44"/>
      <c r="S2905" s="44"/>
      <c r="T2905" s="44"/>
      <c r="U2905" s="44"/>
      <c r="V2905" s="44"/>
      <c r="W2905" s="44"/>
      <c r="X2905" s="44"/>
      <c r="Y2905" s="44"/>
    </row>
    <row r="2906" spans="14:25" ht="15" customHeight="1" x14ac:dyDescent="0.25">
      <c r="N2906" s="44"/>
      <c r="O2906" s="44"/>
      <c r="P2906" s="44"/>
      <c r="Q2906" s="44"/>
      <c r="R2906" s="44"/>
      <c r="S2906" s="44"/>
      <c r="T2906" s="44"/>
      <c r="U2906" s="44"/>
      <c r="V2906" s="44"/>
      <c r="W2906" s="44"/>
      <c r="X2906" s="44"/>
      <c r="Y2906" s="44"/>
    </row>
    <row r="2907" spans="14:25" ht="15" customHeight="1" x14ac:dyDescent="0.25">
      <c r="N2907" s="44"/>
      <c r="O2907" s="44"/>
      <c r="P2907" s="44"/>
      <c r="Q2907" s="44"/>
      <c r="R2907" s="44"/>
      <c r="S2907" s="44"/>
      <c r="T2907" s="44"/>
      <c r="U2907" s="44"/>
      <c r="V2907" s="44"/>
      <c r="W2907" s="44"/>
      <c r="X2907" s="44"/>
      <c r="Y2907" s="44"/>
    </row>
    <row r="2908" spans="14:25" ht="15" customHeight="1" x14ac:dyDescent="0.25">
      <c r="N2908" s="44"/>
      <c r="O2908" s="44"/>
      <c r="P2908" s="44"/>
      <c r="Q2908" s="44"/>
      <c r="R2908" s="44"/>
      <c r="S2908" s="44"/>
      <c r="T2908" s="44"/>
      <c r="U2908" s="44"/>
      <c r="V2908" s="44"/>
      <c r="W2908" s="44"/>
      <c r="X2908" s="44"/>
      <c r="Y2908" s="44"/>
    </row>
    <row r="2909" spans="14:25" ht="15" customHeight="1" x14ac:dyDescent="0.25">
      <c r="N2909" s="44"/>
      <c r="O2909" s="44"/>
      <c r="P2909" s="44"/>
      <c r="Q2909" s="44"/>
      <c r="R2909" s="44"/>
      <c r="S2909" s="44"/>
      <c r="T2909" s="44"/>
      <c r="U2909" s="44"/>
      <c r="V2909" s="44"/>
      <c r="W2909" s="44"/>
      <c r="X2909" s="44"/>
      <c r="Y2909" s="44"/>
    </row>
    <row r="2910" spans="14:25" ht="15" customHeight="1" x14ac:dyDescent="0.25">
      <c r="N2910" s="44"/>
      <c r="O2910" s="44"/>
      <c r="P2910" s="44"/>
      <c r="Q2910" s="44"/>
      <c r="R2910" s="44"/>
      <c r="S2910" s="44"/>
      <c r="T2910" s="44"/>
      <c r="U2910" s="44"/>
      <c r="V2910" s="44"/>
      <c r="W2910" s="44"/>
      <c r="X2910" s="44"/>
      <c r="Y2910" s="44"/>
    </row>
    <row r="2911" spans="14:25" ht="15" customHeight="1" x14ac:dyDescent="0.25">
      <c r="N2911" s="44"/>
      <c r="O2911" s="44"/>
      <c r="P2911" s="44"/>
      <c r="Q2911" s="44"/>
      <c r="R2911" s="44"/>
      <c r="S2911" s="44"/>
      <c r="T2911" s="44"/>
      <c r="U2911" s="44"/>
      <c r="V2911" s="44"/>
      <c r="W2911" s="44"/>
      <c r="X2911" s="44"/>
      <c r="Y2911" s="44"/>
    </row>
    <row r="2912" spans="14:25" ht="15" customHeight="1" x14ac:dyDescent="0.25">
      <c r="N2912" s="44"/>
      <c r="O2912" s="44"/>
      <c r="P2912" s="44"/>
      <c r="Q2912" s="44"/>
      <c r="R2912" s="44"/>
      <c r="S2912" s="44"/>
      <c r="T2912" s="44"/>
      <c r="U2912" s="44"/>
      <c r="V2912" s="44"/>
      <c r="W2912" s="44"/>
      <c r="X2912" s="44"/>
      <c r="Y2912" s="44"/>
    </row>
    <row r="2913" spans="14:25" ht="15" customHeight="1" x14ac:dyDescent="0.25">
      <c r="N2913" s="44"/>
      <c r="O2913" s="44"/>
      <c r="P2913" s="44"/>
      <c r="Q2913" s="44"/>
      <c r="R2913" s="44"/>
      <c r="S2913" s="44"/>
      <c r="T2913" s="44"/>
      <c r="U2913" s="44"/>
      <c r="V2913" s="44"/>
      <c r="W2913" s="44"/>
      <c r="X2913" s="44"/>
      <c r="Y2913" s="44"/>
    </row>
    <row r="2914" spans="14:25" ht="15" customHeight="1" x14ac:dyDescent="0.25">
      <c r="N2914" s="44"/>
      <c r="O2914" s="44"/>
      <c r="P2914" s="44"/>
      <c r="Q2914" s="44"/>
      <c r="R2914" s="44"/>
      <c r="S2914" s="44"/>
      <c r="T2914" s="44"/>
      <c r="U2914" s="44"/>
      <c r="V2914" s="44"/>
      <c r="W2914" s="44"/>
      <c r="X2914" s="44"/>
      <c r="Y2914" s="44"/>
    </row>
    <row r="2915" spans="14:25" ht="15" customHeight="1" x14ac:dyDescent="0.25">
      <c r="N2915" s="44"/>
      <c r="O2915" s="44"/>
      <c r="P2915" s="44"/>
      <c r="Q2915" s="44"/>
      <c r="R2915" s="44"/>
      <c r="S2915" s="44"/>
      <c r="T2915" s="44"/>
      <c r="U2915" s="44"/>
      <c r="V2915" s="44"/>
      <c r="W2915" s="44"/>
      <c r="X2915" s="44"/>
      <c r="Y2915" s="44"/>
    </row>
    <row r="2916" spans="14:25" ht="15" customHeight="1" x14ac:dyDescent="0.25">
      <c r="N2916" s="44"/>
      <c r="O2916" s="44"/>
      <c r="P2916" s="44"/>
      <c r="Q2916" s="44"/>
      <c r="R2916" s="44"/>
      <c r="S2916" s="44"/>
      <c r="T2916" s="44"/>
      <c r="U2916" s="44"/>
      <c r="V2916" s="44"/>
      <c r="W2916" s="44"/>
      <c r="X2916" s="44"/>
      <c r="Y2916" s="44"/>
    </row>
    <row r="2917" spans="14:25" ht="15" customHeight="1" x14ac:dyDescent="0.25">
      <c r="N2917" s="44"/>
      <c r="O2917" s="44"/>
      <c r="P2917" s="44"/>
      <c r="Q2917" s="44"/>
      <c r="R2917" s="44"/>
      <c r="S2917" s="44"/>
      <c r="T2917" s="44"/>
      <c r="U2917" s="44"/>
      <c r="V2917" s="44"/>
      <c r="W2917" s="44"/>
      <c r="X2917" s="44"/>
      <c r="Y2917" s="44"/>
    </row>
    <row r="2918" spans="14:25" ht="15" customHeight="1" x14ac:dyDescent="0.25">
      <c r="N2918" s="44"/>
      <c r="O2918" s="44"/>
      <c r="P2918" s="44"/>
      <c r="Q2918" s="44"/>
      <c r="R2918" s="44"/>
      <c r="S2918" s="44"/>
      <c r="T2918" s="44"/>
      <c r="U2918" s="44"/>
      <c r="V2918" s="44"/>
      <c r="W2918" s="44"/>
      <c r="X2918" s="44"/>
      <c r="Y2918" s="44"/>
    </row>
    <row r="2919" spans="14:25" ht="15" customHeight="1" x14ac:dyDescent="0.25">
      <c r="N2919" s="44"/>
      <c r="O2919" s="44"/>
      <c r="P2919" s="44"/>
      <c r="Q2919" s="44"/>
      <c r="R2919" s="44"/>
      <c r="S2919" s="44"/>
      <c r="T2919" s="44"/>
      <c r="U2919" s="44"/>
      <c r="V2919" s="44"/>
      <c r="W2919" s="44"/>
      <c r="X2919" s="44"/>
      <c r="Y2919" s="44"/>
    </row>
    <row r="2920" spans="14:25" ht="15" customHeight="1" x14ac:dyDescent="0.25">
      <c r="N2920" s="44"/>
      <c r="O2920" s="44"/>
      <c r="P2920" s="44"/>
      <c r="Q2920" s="44"/>
      <c r="R2920" s="44"/>
      <c r="S2920" s="44"/>
      <c r="T2920" s="44"/>
      <c r="U2920" s="44"/>
      <c r="V2920" s="44"/>
      <c r="W2920" s="44"/>
      <c r="X2920" s="44"/>
      <c r="Y2920" s="44"/>
    </row>
    <row r="2921" spans="14:25" ht="15" customHeight="1" x14ac:dyDescent="0.25">
      <c r="N2921" s="44"/>
      <c r="O2921" s="44"/>
      <c r="P2921" s="44"/>
      <c r="Q2921" s="44"/>
      <c r="R2921" s="44"/>
      <c r="S2921" s="44"/>
      <c r="T2921" s="44"/>
      <c r="U2921" s="44"/>
      <c r="V2921" s="44"/>
      <c r="W2921" s="44"/>
      <c r="X2921" s="44"/>
      <c r="Y2921" s="44"/>
    </row>
    <row r="2922" spans="14:25" ht="15" customHeight="1" x14ac:dyDescent="0.25">
      <c r="N2922" s="44"/>
      <c r="O2922" s="44"/>
      <c r="P2922" s="44"/>
      <c r="Q2922" s="44"/>
      <c r="R2922" s="44"/>
      <c r="S2922" s="44"/>
      <c r="T2922" s="44"/>
      <c r="U2922" s="44"/>
      <c r="V2922" s="44"/>
      <c r="W2922" s="44"/>
      <c r="X2922" s="44"/>
      <c r="Y2922" s="44"/>
    </row>
    <row r="2923" spans="14:25" ht="15" customHeight="1" x14ac:dyDescent="0.25">
      <c r="N2923" s="44"/>
      <c r="O2923" s="44"/>
      <c r="P2923" s="44"/>
      <c r="Q2923" s="44"/>
      <c r="R2923" s="44"/>
      <c r="S2923" s="44"/>
      <c r="T2923" s="44"/>
      <c r="U2923" s="44"/>
      <c r="V2923" s="44"/>
      <c r="W2923" s="44"/>
      <c r="X2923" s="44"/>
      <c r="Y2923" s="44"/>
    </row>
    <row r="2924" spans="14:25" ht="15" customHeight="1" x14ac:dyDescent="0.25">
      <c r="N2924" s="44"/>
      <c r="O2924" s="44"/>
      <c r="P2924" s="44"/>
      <c r="Q2924" s="44"/>
      <c r="R2924" s="44"/>
      <c r="S2924" s="44"/>
      <c r="T2924" s="44"/>
      <c r="U2924" s="44"/>
      <c r="V2924" s="44"/>
      <c r="W2924" s="44"/>
      <c r="X2924" s="44"/>
      <c r="Y2924" s="44"/>
    </row>
    <row r="2925" spans="14:25" ht="15" customHeight="1" x14ac:dyDescent="0.25">
      <c r="N2925" s="44"/>
      <c r="O2925" s="44"/>
      <c r="P2925" s="44"/>
      <c r="Q2925" s="44"/>
      <c r="R2925" s="44"/>
      <c r="S2925" s="44"/>
      <c r="T2925" s="44"/>
      <c r="U2925" s="44"/>
      <c r="V2925" s="44"/>
      <c r="W2925" s="44"/>
      <c r="X2925" s="44"/>
      <c r="Y2925" s="44"/>
    </row>
    <row r="2926" spans="14:25" ht="15" customHeight="1" x14ac:dyDescent="0.25">
      <c r="N2926" s="44"/>
      <c r="O2926" s="44"/>
      <c r="P2926" s="44"/>
      <c r="Q2926" s="44"/>
      <c r="R2926" s="44"/>
      <c r="S2926" s="44"/>
      <c r="T2926" s="44"/>
      <c r="U2926" s="44"/>
      <c r="V2926" s="44"/>
      <c r="W2926" s="44"/>
      <c r="X2926" s="44"/>
      <c r="Y2926" s="44"/>
    </row>
    <row r="2927" spans="14:25" ht="15" customHeight="1" x14ac:dyDescent="0.25">
      <c r="N2927" s="44"/>
      <c r="O2927" s="44"/>
      <c r="P2927" s="44"/>
      <c r="Q2927" s="44"/>
      <c r="R2927" s="44"/>
      <c r="S2927" s="44"/>
      <c r="T2927" s="44"/>
      <c r="U2927" s="44"/>
      <c r="V2927" s="44"/>
      <c r="W2927" s="44"/>
      <c r="X2927" s="44"/>
      <c r="Y2927" s="44"/>
    </row>
    <row r="2928" spans="14:25" ht="15" customHeight="1" x14ac:dyDescent="0.25">
      <c r="N2928" s="44"/>
      <c r="O2928" s="44"/>
      <c r="P2928" s="44"/>
      <c r="Q2928" s="44"/>
      <c r="R2928" s="44"/>
      <c r="S2928" s="44"/>
      <c r="T2928" s="44"/>
      <c r="U2928" s="44"/>
      <c r="V2928" s="44"/>
      <c r="W2928" s="44"/>
      <c r="X2928" s="44"/>
      <c r="Y2928" s="44"/>
    </row>
    <row r="2929" spans="14:25" ht="15" customHeight="1" x14ac:dyDescent="0.25">
      <c r="N2929" s="44"/>
      <c r="O2929" s="44"/>
      <c r="P2929" s="44"/>
      <c r="Q2929" s="44"/>
      <c r="R2929" s="44"/>
      <c r="S2929" s="44"/>
      <c r="T2929" s="44"/>
      <c r="U2929" s="44"/>
      <c r="V2929" s="44"/>
      <c r="W2929" s="44"/>
      <c r="X2929" s="44"/>
      <c r="Y2929" s="44"/>
    </row>
    <row r="2930" spans="14:25" ht="15" customHeight="1" x14ac:dyDescent="0.25">
      <c r="N2930" s="44"/>
      <c r="O2930" s="44"/>
      <c r="P2930" s="44"/>
      <c r="Q2930" s="44"/>
      <c r="R2930" s="44"/>
      <c r="S2930" s="44"/>
      <c r="T2930" s="44"/>
      <c r="U2930" s="44"/>
      <c r="V2930" s="44"/>
      <c r="W2930" s="44"/>
      <c r="X2930" s="44"/>
      <c r="Y2930" s="44"/>
    </row>
    <row r="2931" spans="14:25" ht="15" customHeight="1" x14ac:dyDescent="0.25">
      <c r="N2931" s="44"/>
      <c r="O2931" s="44"/>
      <c r="P2931" s="44"/>
      <c r="Q2931" s="44"/>
      <c r="R2931" s="44"/>
      <c r="S2931" s="44"/>
      <c r="T2931" s="44"/>
      <c r="U2931" s="44"/>
      <c r="V2931" s="44"/>
      <c r="W2931" s="44"/>
      <c r="X2931" s="44"/>
      <c r="Y2931" s="44"/>
    </row>
    <row r="2932" spans="14:25" ht="15" customHeight="1" x14ac:dyDescent="0.25">
      <c r="N2932" s="44"/>
      <c r="O2932" s="44"/>
      <c r="P2932" s="44"/>
      <c r="Q2932" s="44"/>
      <c r="R2932" s="44"/>
      <c r="S2932" s="44"/>
      <c r="T2932" s="44"/>
      <c r="U2932" s="44"/>
      <c r="V2932" s="44"/>
      <c r="W2932" s="44"/>
      <c r="X2932" s="44"/>
      <c r="Y2932" s="44"/>
    </row>
    <row r="2933" spans="14:25" ht="15" customHeight="1" x14ac:dyDescent="0.25">
      <c r="N2933" s="44"/>
      <c r="O2933" s="44"/>
      <c r="P2933" s="44"/>
      <c r="Q2933" s="44"/>
      <c r="R2933" s="44"/>
      <c r="S2933" s="44"/>
      <c r="T2933" s="44"/>
      <c r="U2933" s="44"/>
      <c r="V2933" s="44"/>
      <c r="W2933" s="44"/>
      <c r="X2933" s="44"/>
      <c r="Y2933" s="44"/>
    </row>
    <row r="2934" spans="14:25" ht="15" customHeight="1" x14ac:dyDescent="0.25">
      <c r="N2934" s="44"/>
      <c r="O2934" s="44"/>
      <c r="P2934" s="44"/>
      <c r="Q2934" s="44"/>
      <c r="R2934" s="44"/>
      <c r="S2934" s="44"/>
      <c r="T2934" s="44"/>
      <c r="U2934" s="44"/>
      <c r="V2934" s="44"/>
      <c r="W2934" s="44"/>
      <c r="X2934" s="44"/>
      <c r="Y2934" s="44"/>
    </row>
    <row r="2935" spans="14:25" ht="15" customHeight="1" x14ac:dyDescent="0.25">
      <c r="N2935" s="44"/>
      <c r="O2935" s="44"/>
      <c r="P2935" s="44"/>
      <c r="Q2935" s="44"/>
      <c r="R2935" s="44"/>
      <c r="S2935" s="44"/>
      <c r="T2935" s="44"/>
      <c r="U2935" s="44"/>
      <c r="V2935" s="44"/>
      <c r="W2935" s="44"/>
      <c r="X2935" s="44"/>
      <c r="Y2935" s="44"/>
    </row>
    <row r="2936" spans="14:25" ht="15" customHeight="1" x14ac:dyDescent="0.25">
      <c r="N2936" s="44"/>
      <c r="O2936" s="44"/>
      <c r="P2936" s="44"/>
      <c r="Q2936" s="44"/>
      <c r="R2936" s="44"/>
      <c r="S2936" s="44"/>
      <c r="T2936" s="44"/>
      <c r="U2936" s="44"/>
      <c r="V2936" s="44"/>
      <c r="W2936" s="44"/>
      <c r="X2936" s="44"/>
      <c r="Y2936" s="44"/>
    </row>
    <row r="2937" spans="14:25" ht="15" customHeight="1" x14ac:dyDescent="0.25">
      <c r="N2937" s="44"/>
      <c r="O2937" s="44"/>
      <c r="P2937" s="44"/>
      <c r="Q2937" s="44"/>
      <c r="R2937" s="44"/>
      <c r="S2937" s="44"/>
      <c r="T2937" s="44"/>
      <c r="U2937" s="44"/>
      <c r="V2937" s="44"/>
      <c r="W2937" s="44"/>
      <c r="X2937" s="44"/>
      <c r="Y2937" s="44"/>
    </row>
    <row r="2938" spans="14:25" ht="15" customHeight="1" x14ac:dyDescent="0.25">
      <c r="N2938" s="44"/>
      <c r="O2938" s="44"/>
      <c r="P2938" s="44"/>
      <c r="Q2938" s="44"/>
      <c r="R2938" s="44"/>
      <c r="S2938" s="44"/>
      <c r="T2938" s="44"/>
      <c r="U2938" s="44"/>
      <c r="V2938" s="44"/>
      <c r="W2938" s="44"/>
      <c r="X2938" s="44"/>
      <c r="Y2938" s="44"/>
    </row>
    <row r="2939" spans="14:25" ht="15" customHeight="1" x14ac:dyDescent="0.25">
      <c r="N2939" s="44"/>
      <c r="O2939" s="44"/>
      <c r="P2939" s="44"/>
      <c r="Q2939" s="44"/>
      <c r="R2939" s="44"/>
      <c r="S2939" s="44"/>
      <c r="T2939" s="44"/>
      <c r="U2939" s="44"/>
      <c r="V2939" s="44"/>
      <c r="W2939" s="44"/>
      <c r="X2939" s="44"/>
      <c r="Y2939" s="44"/>
    </row>
    <row r="2940" spans="14:25" ht="15" customHeight="1" x14ac:dyDescent="0.25">
      <c r="N2940" s="44"/>
      <c r="O2940" s="44"/>
      <c r="P2940" s="44"/>
      <c r="Q2940" s="44"/>
      <c r="R2940" s="44"/>
      <c r="S2940" s="44"/>
      <c r="T2940" s="44"/>
      <c r="U2940" s="44"/>
      <c r="V2940" s="44"/>
      <c r="W2940" s="44"/>
      <c r="X2940" s="44"/>
      <c r="Y2940" s="44"/>
    </row>
    <row r="2941" spans="14:25" ht="15" customHeight="1" x14ac:dyDescent="0.25">
      <c r="N2941" s="44"/>
      <c r="O2941" s="44"/>
      <c r="P2941" s="44"/>
      <c r="Q2941" s="44"/>
      <c r="R2941" s="44"/>
      <c r="S2941" s="44"/>
      <c r="T2941" s="44"/>
      <c r="U2941" s="44"/>
      <c r="V2941" s="44"/>
      <c r="W2941" s="44"/>
      <c r="X2941" s="44"/>
      <c r="Y2941" s="44"/>
    </row>
    <row r="2942" spans="14:25" ht="15" customHeight="1" x14ac:dyDescent="0.25">
      <c r="N2942" s="44"/>
      <c r="O2942" s="44"/>
      <c r="P2942" s="44"/>
      <c r="Q2942" s="44"/>
      <c r="R2942" s="44"/>
      <c r="S2942" s="44"/>
      <c r="T2942" s="44"/>
      <c r="U2942" s="44"/>
      <c r="V2942" s="44"/>
      <c r="W2942" s="44"/>
      <c r="X2942" s="44"/>
      <c r="Y2942" s="44"/>
    </row>
    <row r="2943" spans="14:25" ht="15" customHeight="1" x14ac:dyDescent="0.25">
      <c r="N2943" s="44"/>
      <c r="O2943" s="44"/>
      <c r="P2943" s="44"/>
      <c r="Q2943" s="44"/>
      <c r="R2943" s="44"/>
      <c r="S2943" s="44"/>
      <c r="T2943" s="44"/>
      <c r="U2943" s="44"/>
      <c r="V2943" s="44"/>
      <c r="W2943" s="44"/>
      <c r="X2943" s="44"/>
      <c r="Y2943" s="44"/>
    </row>
    <row r="2944" spans="14:25" ht="15" customHeight="1" x14ac:dyDescent="0.25">
      <c r="N2944" s="44"/>
      <c r="O2944" s="44"/>
      <c r="P2944" s="44"/>
      <c r="Q2944" s="44"/>
      <c r="R2944" s="44"/>
      <c r="S2944" s="44"/>
      <c r="T2944" s="44"/>
      <c r="U2944" s="44"/>
      <c r="V2944" s="44"/>
      <c r="W2944" s="44"/>
      <c r="X2944" s="44"/>
      <c r="Y2944" s="44"/>
    </row>
    <row r="2945" spans="14:25" ht="15" customHeight="1" x14ac:dyDescent="0.25">
      <c r="N2945" s="44"/>
      <c r="O2945" s="44"/>
      <c r="P2945" s="44"/>
      <c r="Q2945" s="44"/>
      <c r="R2945" s="44"/>
      <c r="S2945" s="44"/>
      <c r="T2945" s="44"/>
      <c r="U2945" s="44"/>
      <c r="V2945" s="44"/>
      <c r="W2945" s="44"/>
      <c r="X2945" s="44"/>
      <c r="Y2945" s="44"/>
    </row>
    <row r="2946" spans="14:25" ht="15" customHeight="1" x14ac:dyDescent="0.25">
      <c r="N2946" s="44"/>
      <c r="O2946" s="44"/>
      <c r="P2946" s="44"/>
      <c r="Q2946" s="44"/>
      <c r="R2946" s="44"/>
      <c r="S2946" s="44"/>
      <c r="T2946" s="44"/>
      <c r="U2946" s="44"/>
      <c r="V2946" s="44"/>
      <c r="W2946" s="44"/>
      <c r="X2946" s="44"/>
      <c r="Y2946" s="44"/>
    </row>
    <row r="2947" spans="14:25" ht="15" customHeight="1" x14ac:dyDescent="0.25">
      <c r="N2947" s="44"/>
      <c r="O2947" s="44"/>
      <c r="P2947" s="44"/>
      <c r="Q2947" s="44"/>
      <c r="R2947" s="44"/>
      <c r="S2947" s="44"/>
      <c r="T2947" s="44"/>
      <c r="U2947" s="44"/>
      <c r="V2947" s="44"/>
      <c r="W2947" s="44"/>
      <c r="X2947" s="44"/>
      <c r="Y2947" s="44"/>
    </row>
    <row r="2948" spans="14:25" ht="15" customHeight="1" x14ac:dyDescent="0.25">
      <c r="N2948" s="44"/>
      <c r="O2948" s="44"/>
      <c r="P2948" s="44"/>
      <c r="Q2948" s="44"/>
      <c r="R2948" s="44"/>
      <c r="S2948" s="44"/>
      <c r="T2948" s="44"/>
      <c r="U2948" s="44"/>
      <c r="V2948" s="44"/>
      <c r="W2948" s="44"/>
      <c r="X2948" s="44"/>
      <c r="Y2948" s="44"/>
    </row>
    <row r="2949" spans="14:25" ht="15" customHeight="1" x14ac:dyDescent="0.25">
      <c r="N2949" s="44"/>
      <c r="O2949" s="44"/>
      <c r="P2949" s="44"/>
      <c r="Q2949" s="44"/>
      <c r="R2949" s="44"/>
      <c r="S2949" s="44"/>
      <c r="T2949" s="44"/>
      <c r="U2949" s="44"/>
      <c r="V2949" s="44"/>
      <c r="W2949" s="44"/>
      <c r="X2949" s="44"/>
      <c r="Y2949" s="44"/>
    </row>
    <row r="2950" spans="14:25" ht="15" customHeight="1" x14ac:dyDescent="0.25">
      <c r="N2950" s="44"/>
      <c r="O2950" s="44"/>
      <c r="P2950" s="44"/>
      <c r="Q2950" s="44"/>
      <c r="R2950" s="44"/>
      <c r="S2950" s="44"/>
      <c r="T2950" s="44"/>
      <c r="U2950" s="44"/>
      <c r="V2950" s="44"/>
      <c r="W2950" s="44"/>
      <c r="X2950" s="44"/>
      <c r="Y2950" s="44"/>
    </row>
    <row r="2951" spans="14:25" ht="15" customHeight="1" x14ac:dyDescent="0.25">
      <c r="N2951" s="44"/>
      <c r="O2951" s="44"/>
      <c r="P2951" s="44"/>
      <c r="Q2951" s="44"/>
      <c r="R2951" s="44"/>
      <c r="S2951" s="44"/>
      <c r="T2951" s="44"/>
      <c r="U2951" s="44"/>
      <c r="V2951" s="44"/>
      <c r="W2951" s="44"/>
      <c r="X2951" s="44"/>
      <c r="Y2951" s="44"/>
    </row>
    <row r="2952" spans="14:25" ht="15" customHeight="1" x14ac:dyDescent="0.25">
      <c r="N2952" s="44"/>
      <c r="O2952" s="44"/>
      <c r="P2952" s="44"/>
      <c r="Q2952" s="44"/>
      <c r="R2952" s="44"/>
      <c r="S2952" s="44"/>
      <c r="T2952" s="44"/>
      <c r="U2952" s="44"/>
      <c r="V2952" s="44"/>
      <c r="W2952" s="44"/>
      <c r="X2952" s="44"/>
      <c r="Y2952" s="44"/>
    </row>
    <row r="2953" spans="14:25" ht="15" customHeight="1" x14ac:dyDescent="0.25">
      <c r="N2953" s="44"/>
      <c r="O2953" s="44"/>
      <c r="P2953" s="44"/>
      <c r="Q2953" s="44"/>
      <c r="R2953" s="44"/>
      <c r="S2953" s="44"/>
      <c r="T2953" s="44"/>
      <c r="U2953" s="44"/>
      <c r="V2953" s="44"/>
      <c r="W2953" s="44"/>
      <c r="X2953" s="44"/>
      <c r="Y2953" s="44"/>
    </row>
    <row r="2954" spans="14:25" ht="15" customHeight="1" x14ac:dyDescent="0.25">
      <c r="N2954" s="44"/>
      <c r="O2954" s="44"/>
      <c r="P2954" s="44"/>
      <c r="Q2954" s="44"/>
      <c r="R2954" s="44"/>
      <c r="S2954" s="44"/>
      <c r="T2954" s="44"/>
      <c r="U2954" s="44"/>
      <c r="V2954" s="44"/>
      <c r="W2954" s="44"/>
      <c r="X2954" s="44"/>
      <c r="Y2954" s="44"/>
    </row>
    <row r="2955" spans="14:25" ht="15" customHeight="1" x14ac:dyDescent="0.25">
      <c r="N2955" s="44"/>
      <c r="O2955" s="44"/>
      <c r="P2955" s="44"/>
      <c r="Q2955" s="44"/>
      <c r="R2955" s="44"/>
      <c r="S2955" s="44"/>
      <c r="T2955" s="44"/>
      <c r="U2955" s="44"/>
      <c r="V2955" s="44"/>
      <c r="W2955" s="44"/>
      <c r="X2955" s="44"/>
      <c r="Y2955" s="44"/>
    </row>
    <row r="2956" spans="14:25" ht="15" customHeight="1" x14ac:dyDescent="0.25">
      <c r="N2956" s="44"/>
      <c r="O2956" s="44"/>
      <c r="P2956" s="44"/>
      <c r="Q2956" s="44"/>
      <c r="R2956" s="44"/>
      <c r="S2956" s="44"/>
      <c r="T2956" s="44"/>
      <c r="U2956" s="44"/>
      <c r="V2956" s="44"/>
      <c r="W2956" s="44"/>
      <c r="X2956" s="44"/>
      <c r="Y2956" s="44"/>
    </row>
    <row r="2957" spans="14:25" ht="15" customHeight="1" x14ac:dyDescent="0.25">
      <c r="N2957" s="44"/>
      <c r="O2957" s="44"/>
      <c r="P2957" s="44"/>
      <c r="Q2957" s="44"/>
      <c r="R2957" s="44"/>
      <c r="S2957" s="44"/>
      <c r="T2957" s="44"/>
      <c r="U2957" s="44"/>
      <c r="V2957" s="44"/>
      <c r="W2957" s="44"/>
      <c r="X2957" s="44"/>
      <c r="Y2957" s="44"/>
    </row>
    <row r="2958" spans="14:25" ht="15" customHeight="1" x14ac:dyDescent="0.25">
      <c r="N2958" s="44"/>
      <c r="O2958" s="44"/>
      <c r="P2958" s="44"/>
      <c r="Q2958" s="44"/>
      <c r="R2958" s="44"/>
      <c r="S2958" s="44"/>
      <c r="T2958" s="44"/>
      <c r="U2958" s="44"/>
      <c r="V2958" s="44"/>
      <c r="W2958" s="44"/>
      <c r="X2958" s="44"/>
      <c r="Y2958" s="44"/>
    </row>
    <row r="2959" spans="14:25" ht="15" customHeight="1" x14ac:dyDescent="0.25">
      <c r="N2959" s="44"/>
      <c r="O2959" s="44"/>
      <c r="P2959" s="44"/>
      <c r="Q2959" s="44"/>
      <c r="R2959" s="44"/>
      <c r="S2959" s="44"/>
      <c r="T2959" s="44"/>
      <c r="U2959" s="44"/>
      <c r="V2959" s="44"/>
      <c r="W2959" s="44"/>
      <c r="X2959" s="44"/>
      <c r="Y2959" s="44"/>
    </row>
    <row r="2960" spans="14:25" ht="15" customHeight="1" x14ac:dyDescent="0.25">
      <c r="N2960" s="44"/>
      <c r="O2960" s="44"/>
      <c r="P2960" s="44"/>
      <c r="Q2960" s="44"/>
      <c r="R2960" s="44"/>
      <c r="S2960" s="44"/>
      <c r="T2960" s="44"/>
      <c r="U2960" s="44"/>
      <c r="V2960" s="44"/>
      <c r="W2960" s="44"/>
      <c r="X2960" s="44"/>
      <c r="Y2960" s="44"/>
    </row>
    <row r="2961" spans="14:25" ht="15" customHeight="1" x14ac:dyDescent="0.25">
      <c r="N2961" s="44"/>
      <c r="O2961" s="44"/>
      <c r="P2961" s="44"/>
      <c r="Q2961" s="44"/>
      <c r="R2961" s="44"/>
      <c r="S2961" s="44"/>
      <c r="T2961" s="44"/>
      <c r="U2961" s="44"/>
      <c r="V2961" s="44"/>
      <c r="W2961" s="44"/>
      <c r="X2961" s="44"/>
      <c r="Y2961" s="44"/>
    </row>
    <row r="2962" spans="14:25" ht="15" customHeight="1" x14ac:dyDescent="0.25">
      <c r="N2962" s="44"/>
      <c r="O2962" s="44"/>
      <c r="P2962" s="44"/>
      <c r="Q2962" s="44"/>
      <c r="R2962" s="44"/>
      <c r="S2962" s="44"/>
      <c r="T2962" s="44"/>
      <c r="U2962" s="44"/>
      <c r="V2962" s="44"/>
      <c r="W2962" s="44"/>
      <c r="X2962" s="44"/>
      <c r="Y2962" s="44"/>
    </row>
    <row r="2963" spans="14:25" ht="15" customHeight="1" x14ac:dyDescent="0.25">
      <c r="N2963" s="44"/>
      <c r="O2963" s="44"/>
      <c r="P2963" s="44"/>
      <c r="Q2963" s="44"/>
      <c r="R2963" s="44"/>
      <c r="S2963" s="44"/>
      <c r="T2963" s="44"/>
      <c r="U2963" s="44"/>
      <c r="V2963" s="44"/>
      <c r="W2963" s="44"/>
      <c r="X2963" s="44"/>
      <c r="Y2963" s="44"/>
    </row>
    <row r="2964" spans="14:25" ht="15" customHeight="1" x14ac:dyDescent="0.25">
      <c r="N2964" s="44"/>
      <c r="O2964" s="44"/>
      <c r="P2964" s="44"/>
      <c r="Q2964" s="44"/>
      <c r="R2964" s="44"/>
      <c r="S2964" s="44"/>
      <c r="T2964" s="44"/>
      <c r="U2964" s="44"/>
      <c r="V2964" s="44"/>
      <c r="W2964" s="44"/>
      <c r="X2964" s="44"/>
      <c r="Y2964" s="44"/>
    </row>
    <row r="2965" spans="14:25" ht="15" customHeight="1" x14ac:dyDescent="0.25">
      <c r="N2965" s="44"/>
      <c r="O2965" s="44"/>
      <c r="P2965" s="44"/>
      <c r="Q2965" s="44"/>
      <c r="R2965" s="44"/>
      <c r="S2965" s="44"/>
      <c r="T2965" s="44"/>
      <c r="U2965" s="44"/>
      <c r="V2965" s="44"/>
      <c r="W2965" s="44"/>
      <c r="X2965" s="44"/>
      <c r="Y2965" s="44"/>
    </row>
    <row r="2966" spans="14:25" ht="15" customHeight="1" x14ac:dyDescent="0.25">
      <c r="N2966" s="44"/>
      <c r="O2966" s="44"/>
      <c r="P2966" s="44"/>
      <c r="Q2966" s="44"/>
      <c r="R2966" s="44"/>
      <c r="S2966" s="44"/>
      <c r="T2966" s="44"/>
      <c r="U2966" s="44"/>
      <c r="V2966" s="44"/>
      <c r="W2966" s="44"/>
      <c r="X2966" s="44"/>
      <c r="Y2966" s="44"/>
    </row>
    <row r="2967" spans="14:25" ht="15" customHeight="1" x14ac:dyDescent="0.25">
      <c r="N2967" s="44"/>
      <c r="O2967" s="44"/>
      <c r="P2967" s="44"/>
      <c r="Q2967" s="44"/>
      <c r="R2967" s="44"/>
      <c r="S2967" s="44"/>
      <c r="T2967" s="44"/>
      <c r="U2967" s="44"/>
      <c r="V2967" s="44"/>
      <c r="W2967" s="44"/>
      <c r="X2967" s="44"/>
      <c r="Y2967" s="44"/>
    </row>
    <row r="2968" spans="14:25" ht="15" customHeight="1" x14ac:dyDescent="0.25">
      <c r="N2968" s="44"/>
      <c r="O2968" s="44"/>
      <c r="P2968" s="44"/>
      <c r="Q2968" s="44"/>
      <c r="R2968" s="44"/>
      <c r="S2968" s="44"/>
      <c r="T2968" s="44"/>
      <c r="U2968" s="44"/>
      <c r="V2968" s="44"/>
      <c r="W2968" s="44"/>
      <c r="X2968" s="44"/>
      <c r="Y2968" s="44"/>
    </row>
    <row r="2969" spans="14:25" ht="15" customHeight="1" x14ac:dyDescent="0.25">
      <c r="N2969" s="44"/>
      <c r="O2969" s="44"/>
      <c r="P2969" s="44"/>
      <c r="Q2969" s="44"/>
      <c r="R2969" s="44"/>
      <c r="S2969" s="44"/>
      <c r="T2969" s="44"/>
      <c r="U2969" s="44"/>
      <c r="V2969" s="44"/>
      <c r="W2969" s="44"/>
      <c r="X2969" s="44"/>
      <c r="Y2969" s="44"/>
    </row>
    <row r="2970" spans="14:25" ht="15" customHeight="1" x14ac:dyDescent="0.25">
      <c r="N2970" s="44"/>
      <c r="O2970" s="44"/>
      <c r="P2970" s="44"/>
      <c r="Q2970" s="44"/>
      <c r="R2970" s="44"/>
      <c r="S2970" s="44"/>
      <c r="T2970" s="44"/>
      <c r="U2970" s="44"/>
      <c r="V2970" s="44"/>
      <c r="W2970" s="44"/>
      <c r="X2970" s="44"/>
      <c r="Y2970" s="44"/>
    </row>
    <row r="2971" spans="14:25" ht="15" customHeight="1" x14ac:dyDescent="0.25">
      <c r="N2971" s="44"/>
      <c r="O2971" s="44"/>
      <c r="P2971" s="44"/>
      <c r="Q2971" s="44"/>
      <c r="R2971" s="44"/>
      <c r="S2971" s="44"/>
      <c r="T2971" s="44"/>
      <c r="U2971" s="44"/>
      <c r="V2971" s="44"/>
      <c r="W2971" s="44"/>
      <c r="X2971" s="44"/>
      <c r="Y2971" s="44"/>
    </row>
    <row r="2972" spans="14:25" ht="15" customHeight="1" x14ac:dyDescent="0.25">
      <c r="N2972" s="44"/>
      <c r="O2972" s="44"/>
      <c r="P2972" s="44"/>
      <c r="Q2972" s="44"/>
      <c r="R2972" s="44"/>
      <c r="S2972" s="44"/>
      <c r="T2972" s="44"/>
      <c r="U2972" s="44"/>
      <c r="V2972" s="44"/>
      <c r="W2972" s="44"/>
      <c r="X2972" s="44"/>
      <c r="Y2972" s="44"/>
    </row>
    <row r="2973" spans="14:25" ht="15" customHeight="1" x14ac:dyDescent="0.25">
      <c r="N2973" s="44"/>
      <c r="O2973" s="44"/>
      <c r="P2973" s="44"/>
      <c r="Q2973" s="44"/>
      <c r="R2973" s="44"/>
      <c r="S2973" s="44"/>
      <c r="T2973" s="44"/>
      <c r="U2973" s="44"/>
      <c r="V2973" s="44"/>
      <c r="W2973" s="44"/>
      <c r="X2973" s="44"/>
      <c r="Y2973" s="44"/>
    </row>
    <row r="2974" spans="14:25" ht="15" customHeight="1" x14ac:dyDescent="0.25">
      <c r="N2974" s="44"/>
      <c r="O2974" s="44"/>
      <c r="P2974" s="44"/>
      <c r="Q2974" s="44"/>
      <c r="R2974" s="44"/>
      <c r="S2974" s="44"/>
      <c r="T2974" s="44"/>
      <c r="U2974" s="44"/>
      <c r="V2974" s="44"/>
      <c r="W2974" s="44"/>
      <c r="X2974" s="44"/>
      <c r="Y2974" s="44"/>
    </row>
    <row r="2975" spans="14:25" ht="15" customHeight="1" x14ac:dyDescent="0.25">
      <c r="N2975" s="44"/>
      <c r="O2975" s="44"/>
      <c r="P2975" s="44"/>
      <c r="Q2975" s="44"/>
      <c r="R2975" s="44"/>
      <c r="S2975" s="44"/>
      <c r="T2975" s="44"/>
      <c r="U2975" s="44"/>
      <c r="V2975" s="44"/>
      <c r="W2975" s="44"/>
      <c r="X2975" s="44"/>
      <c r="Y2975" s="44"/>
    </row>
    <row r="2976" spans="14:25" ht="15" customHeight="1" x14ac:dyDescent="0.25">
      <c r="N2976" s="44"/>
      <c r="O2976" s="44"/>
      <c r="P2976" s="44"/>
      <c r="Q2976" s="44"/>
      <c r="R2976" s="44"/>
      <c r="S2976" s="44"/>
      <c r="T2976" s="44"/>
      <c r="U2976" s="44"/>
      <c r="V2976" s="44"/>
      <c r="W2976" s="44"/>
      <c r="X2976" s="44"/>
      <c r="Y2976" s="44"/>
    </row>
    <row r="2977" spans="14:25" ht="15" customHeight="1" x14ac:dyDescent="0.25">
      <c r="N2977" s="44"/>
      <c r="O2977" s="44"/>
      <c r="P2977" s="44"/>
      <c r="Q2977" s="44"/>
      <c r="R2977" s="44"/>
      <c r="S2977" s="44"/>
      <c r="T2977" s="44"/>
      <c r="U2977" s="44"/>
      <c r="V2977" s="44"/>
      <c r="W2977" s="44"/>
      <c r="X2977" s="44"/>
      <c r="Y2977" s="44"/>
    </row>
    <row r="2978" spans="14:25" ht="15" customHeight="1" x14ac:dyDescent="0.25">
      <c r="N2978" s="44"/>
      <c r="O2978" s="44"/>
      <c r="P2978" s="44"/>
      <c r="Q2978" s="44"/>
      <c r="R2978" s="44"/>
      <c r="S2978" s="44"/>
      <c r="T2978" s="44"/>
      <c r="U2978" s="44"/>
      <c r="V2978" s="44"/>
      <c r="W2978" s="44"/>
      <c r="X2978" s="44"/>
      <c r="Y2978" s="44"/>
    </row>
    <row r="2979" spans="14:25" ht="15" customHeight="1" x14ac:dyDescent="0.25">
      <c r="N2979" s="44"/>
      <c r="O2979" s="44"/>
      <c r="P2979" s="44"/>
      <c r="Q2979" s="44"/>
      <c r="R2979" s="44"/>
      <c r="S2979" s="44"/>
      <c r="T2979" s="44"/>
      <c r="U2979" s="44"/>
      <c r="V2979" s="44"/>
      <c r="W2979" s="44"/>
      <c r="X2979" s="44"/>
      <c r="Y2979" s="44"/>
    </row>
    <row r="2980" spans="14:25" ht="15" customHeight="1" x14ac:dyDescent="0.25">
      <c r="N2980" s="44"/>
      <c r="O2980" s="44"/>
      <c r="P2980" s="44"/>
      <c r="Q2980" s="44"/>
      <c r="R2980" s="44"/>
      <c r="S2980" s="44"/>
      <c r="T2980" s="44"/>
      <c r="U2980" s="44"/>
      <c r="V2980" s="44"/>
      <c r="W2980" s="44"/>
      <c r="X2980" s="44"/>
      <c r="Y2980" s="44"/>
    </row>
    <row r="2981" spans="14:25" ht="15" customHeight="1" x14ac:dyDescent="0.25">
      <c r="N2981" s="44"/>
      <c r="O2981" s="44"/>
      <c r="P2981" s="44"/>
      <c r="Q2981" s="44"/>
      <c r="R2981" s="44"/>
      <c r="S2981" s="44"/>
      <c r="T2981" s="44"/>
      <c r="U2981" s="44"/>
      <c r="V2981" s="44"/>
      <c r="W2981" s="44"/>
      <c r="X2981" s="44"/>
      <c r="Y2981" s="44"/>
    </row>
    <row r="2982" spans="14:25" ht="15" customHeight="1" x14ac:dyDescent="0.25">
      <c r="N2982" s="44"/>
      <c r="O2982" s="44"/>
      <c r="P2982" s="44"/>
      <c r="Q2982" s="44"/>
      <c r="R2982" s="44"/>
      <c r="S2982" s="44"/>
      <c r="T2982" s="44"/>
      <c r="U2982" s="44"/>
      <c r="V2982" s="44"/>
      <c r="W2982" s="44"/>
      <c r="X2982" s="44"/>
      <c r="Y2982" s="44"/>
    </row>
    <row r="2983" spans="14:25" ht="15" customHeight="1" x14ac:dyDescent="0.25">
      <c r="N2983" s="44"/>
      <c r="O2983" s="44"/>
      <c r="P2983" s="44"/>
      <c r="Q2983" s="44"/>
      <c r="R2983" s="44"/>
      <c r="S2983" s="44"/>
      <c r="T2983" s="44"/>
      <c r="U2983" s="44"/>
      <c r="V2983" s="44"/>
      <c r="W2983" s="44"/>
      <c r="X2983" s="44"/>
      <c r="Y2983" s="44"/>
    </row>
    <row r="2984" spans="14:25" ht="15" customHeight="1" x14ac:dyDescent="0.25">
      <c r="N2984" s="44"/>
      <c r="O2984" s="44"/>
      <c r="P2984" s="44"/>
      <c r="Q2984" s="44"/>
      <c r="R2984" s="44"/>
      <c r="S2984" s="44"/>
      <c r="T2984" s="44"/>
      <c r="U2984" s="44"/>
      <c r="V2984" s="44"/>
      <c r="W2984" s="44"/>
      <c r="X2984" s="44"/>
      <c r="Y2984" s="44"/>
    </row>
    <row r="2985" spans="14:25" ht="15" customHeight="1" x14ac:dyDescent="0.25">
      <c r="N2985" s="44"/>
      <c r="O2985" s="44"/>
      <c r="P2985" s="44"/>
      <c r="Q2985" s="44"/>
      <c r="R2985" s="44"/>
      <c r="S2985" s="44"/>
      <c r="T2985" s="44"/>
      <c r="U2985" s="44"/>
      <c r="V2985" s="44"/>
      <c r="W2985" s="44"/>
      <c r="X2985" s="44"/>
      <c r="Y2985" s="44"/>
    </row>
    <row r="2986" spans="14:25" ht="15" customHeight="1" x14ac:dyDescent="0.25">
      <c r="N2986" s="44"/>
      <c r="O2986" s="44"/>
      <c r="P2986" s="44"/>
      <c r="Q2986" s="44"/>
      <c r="R2986" s="44"/>
      <c r="S2986" s="44"/>
      <c r="T2986" s="44"/>
      <c r="U2986" s="44"/>
      <c r="V2986" s="44"/>
      <c r="W2986" s="44"/>
      <c r="X2986" s="44"/>
      <c r="Y2986" s="44"/>
    </row>
    <row r="2987" spans="14:25" ht="15" customHeight="1" x14ac:dyDescent="0.25">
      <c r="N2987" s="44"/>
      <c r="O2987" s="44"/>
      <c r="P2987" s="44"/>
      <c r="Q2987" s="44"/>
      <c r="R2987" s="44"/>
      <c r="S2987" s="44"/>
      <c r="T2987" s="44"/>
      <c r="U2987" s="44"/>
      <c r="V2987" s="44"/>
      <c r="W2987" s="44"/>
      <c r="X2987" s="44"/>
      <c r="Y2987" s="44"/>
    </row>
    <row r="2988" spans="14:25" ht="15" customHeight="1" x14ac:dyDescent="0.25">
      <c r="N2988" s="44"/>
      <c r="O2988" s="44"/>
      <c r="P2988" s="44"/>
      <c r="Q2988" s="44"/>
      <c r="R2988" s="44"/>
      <c r="S2988" s="44"/>
      <c r="T2988" s="44"/>
      <c r="U2988" s="44"/>
      <c r="V2988" s="44"/>
      <c r="W2988" s="44"/>
      <c r="X2988" s="44"/>
      <c r="Y2988" s="44"/>
    </row>
    <row r="2989" spans="14:25" ht="15" customHeight="1" x14ac:dyDescent="0.25">
      <c r="N2989" s="44"/>
      <c r="O2989" s="44"/>
      <c r="P2989" s="44"/>
      <c r="Q2989" s="44"/>
      <c r="R2989" s="44"/>
      <c r="S2989" s="44"/>
      <c r="T2989" s="44"/>
      <c r="U2989" s="44"/>
      <c r="V2989" s="44"/>
      <c r="W2989" s="44"/>
      <c r="X2989" s="44"/>
      <c r="Y2989" s="44"/>
    </row>
    <row r="2990" spans="14:25" ht="15" customHeight="1" x14ac:dyDescent="0.25">
      <c r="N2990" s="44"/>
      <c r="O2990" s="44"/>
      <c r="P2990" s="44"/>
      <c r="Q2990" s="44"/>
      <c r="R2990" s="44"/>
      <c r="S2990" s="44"/>
      <c r="T2990" s="44"/>
      <c r="U2990" s="44"/>
      <c r="V2990" s="44"/>
      <c r="W2990" s="44"/>
      <c r="X2990" s="44"/>
      <c r="Y2990" s="44"/>
    </row>
    <row r="2991" spans="14:25" ht="15" customHeight="1" x14ac:dyDescent="0.25">
      <c r="N2991" s="44"/>
      <c r="O2991" s="44"/>
      <c r="P2991" s="44"/>
      <c r="Q2991" s="44"/>
      <c r="R2991" s="44"/>
      <c r="S2991" s="44"/>
      <c r="T2991" s="44"/>
      <c r="U2991" s="44"/>
      <c r="V2991" s="44"/>
      <c r="W2991" s="44"/>
      <c r="X2991" s="44"/>
      <c r="Y2991" s="44"/>
    </row>
    <row r="2992" spans="14:25" ht="15" customHeight="1" x14ac:dyDescent="0.25">
      <c r="N2992" s="44"/>
      <c r="O2992" s="44"/>
      <c r="P2992" s="44"/>
      <c r="Q2992" s="44"/>
      <c r="R2992" s="44"/>
      <c r="S2992" s="44"/>
      <c r="T2992" s="44"/>
      <c r="U2992" s="44"/>
      <c r="V2992" s="44"/>
      <c r="W2992" s="44"/>
      <c r="X2992" s="44"/>
      <c r="Y2992" s="44"/>
    </row>
    <row r="2993" spans="14:25" ht="15" customHeight="1" x14ac:dyDescent="0.25">
      <c r="N2993" s="44"/>
      <c r="O2993" s="44"/>
      <c r="P2993" s="44"/>
      <c r="Q2993" s="44"/>
      <c r="R2993" s="44"/>
      <c r="S2993" s="44"/>
      <c r="T2993" s="44"/>
      <c r="U2993" s="44"/>
      <c r="V2993" s="44"/>
      <c r="W2993" s="44"/>
      <c r="X2993" s="44"/>
      <c r="Y2993" s="44"/>
    </row>
    <row r="2994" spans="14:25" ht="15" customHeight="1" x14ac:dyDescent="0.25">
      <c r="N2994" s="44"/>
      <c r="O2994" s="44"/>
      <c r="P2994" s="44"/>
      <c r="Q2994" s="44"/>
      <c r="R2994" s="44"/>
      <c r="S2994" s="44"/>
      <c r="T2994" s="44"/>
      <c r="U2994" s="44"/>
      <c r="V2994" s="44"/>
      <c r="W2994" s="44"/>
      <c r="X2994" s="44"/>
      <c r="Y2994" s="44"/>
    </row>
    <row r="2995" spans="14:25" ht="15" customHeight="1" x14ac:dyDescent="0.25">
      <c r="N2995" s="44"/>
      <c r="O2995" s="44"/>
      <c r="P2995" s="44"/>
      <c r="Q2995" s="44"/>
      <c r="R2995" s="44"/>
      <c r="S2995" s="44"/>
      <c r="T2995" s="44"/>
      <c r="U2995" s="44"/>
      <c r="V2995" s="44"/>
      <c r="W2995" s="44"/>
      <c r="X2995" s="44"/>
      <c r="Y2995" s="44"/>
    </row>
    <row r="2996" spans="14:25" ht="15" customHeight="1" x14ac:dyDescent="0.25">
      <c r="N2996" s="44"/>
      <c r="O2996" s="44"/>
      <c r="P2996" s="44"/>
      <c r="Q2996" s="44"/>
      <c r="R2996" s="44"/>
      <c r="S2996" s="44"/>
      <c r="T2996" s="44"/>
      <c r="U2996" s="44"/>
      <c r="V2996" s="44"/>
      <c r="W2996" s="44"/>
      <c r="X2996" s="44"/>
      <c r="Y2996" s="44"/>
    </row>
    <row r="2997" spans="14:25" ht="15" customHeight="1" x14ac:dyDescent="0.25">
      <c r="N2997" s="44"/>
      <c r="O2997" s="44"/>
      <c r="P2997" s="44"/>
      <c r="Q2997" s="44"/>
      <c r="R2997" s="44"/>
      <c r="S2997" s="44"/>
      <c r="T2997" s="44"/>
      <c r="U2997" s="44"/>
      <c r="V2997" s="44"/>
      <c r="W2997" s="44"/>
      <c r="X2997" s="44"/>
      <c r="Y2997" s="44"/>
    </row>
    <row r="2998" spans="14:25" ht="15" customHeight="1" x14ac:dyDescent="0.25">
      <c r="N2998" s="44"/>
      <c r="O2998" s="44"/>
      <c r="P2998" s="44"/>
      <c r="Q2998" s="44"/>
      <c r="R2998" s="44"/>
      <c r="S2998" s="44"/>
      <c r="T2998" s="44"/>
      <c r="U2998" s="44"/>
      <c r="V2998" s="44"/>
      <c r="W2998" s="44"/>
      <c r="X2998" s="44"/>
      <c r="Y2998" s="44"/>
    </row>
    <row r="2999" spans="14:25" ht="15" customHeight="1" x14ac:dyDescent="0.25">
      <c r="N2999" s="44"/>
      <c r="O2999" s="44"/>
      <c r="P2999" s="44"/>
      <c r="Q2999" s="44"/>
      <c r="R2999" s="44"/>
      <c r="S2999" s="44"/>
      <c r="T2999" s="44"/>
      <c r="U2999" s="44"/>
      <c r="V2999" s="44"/>
      <c r="W2999" s="44"/>
      <c r="X2999" s="44"/>
      <c r="Y2999" s="44"/>
    </row>
    <row r="3000" spans="14:25" ht="15" customHeight="1" x14ac:dyDescent="0.25">
      <c r="N3000" s="44"/>
      <c r="O3000" s="44"/>
      <c r="P3000" s="44"/>
      <c r="Q3000" s="44"/>
      <c r="R3000" s="44"/>
      <c r="S3000" s="44"/>
      <c r="T3000" s="44"/>
      <c r="U3000" s="44"/>
      <c r="V3000" s="44"/>
      <c r="W3000" s="44"/>
      <c r="X3000" s="44"/>
      <c r="Y3000" s="44"/>
    </row>
    <row r="3001" spans="14:25" ht="15" customHeight="1" x14ac:dyDescent="0.25">
      <c r="N3001" s="44"/>
      <c r="O3001" s="44"/>
      <c r="P3001" s="44"/>
      <c r="Q3001" s="44"/>
      <c r="R3001" s="44"/>
      <c r="S3001" s="44"/>
      <c r="T3001" s="44"/>
      <c r="U3001" s="44"/>
      <c r="V3001" s="44"/>
      <c r="W3001" s="44"/>
      <c r="X3001" s="44"/>
      <c r="Y3001" s="44"/>
    </row>
    <row r="3002" spans="14:25" ht="15" customHeight="1" x14ac:dyDescent="0.25">
      <c r="N3002" s="44"/>
      <c r="O3002" s="44"/>
      <c r="P3002" s="44"/>
      <c r="Q3002" s="44"/>
      <c r="R3002" s="44"/>
      <c r="S3002" s="44"/>
      <c r="T3002" s="44"/>
      <c r="U3002" s="44"/>
      <c r="V3002" s="44"/>
      <c r="W3002" s="44"/>
      <c r="X3002" s="44"/>
      <c r="Y3002" s="44"/>
    </row>
    <row r="3003" spans="14:25" ht="15" customHeight="1" x14ac:dyDescent="0.25">
      <c r="N3003" s="44"/>
      <c r="O3003" s="44"/>
      <c r="P3003" s="44"/>
      <c r="Q3003" s="44"/>
      <c r="R3003" s="44"/>
      <c r="S3003" s="44"/>
      <c r="T3003" s="44"/>
      <c r="U3003" s="44"/>
      <c r="V3003" s="44"/>
      <c r="W3003" s="44"/>
      <c r="X3003" s="44"/>
      <c r="Y3003" s="44"/>
    </row>
    <row r="3004" spans="14:25" ht="15" customHeight="1" x14ac:dyDescent="0.25">
      <c r="N3004" s="44"/>
      <c r="O3004" s="44"/>
      <c r="P3004" s="44"/>
      <c r="Q3004" s="44"/>
      <c r="R3004" s="44"/>
      <c r="S3004" s="44"/>
      <c r="T3004" s="44"/>
      <c r="U3004" s="44"/>
      <c r="V3004" s="44"/>
      <c r="W3004" s="44"/>
      <c r="X3004" s="44"/>
      <c r="Y3004" s="44"/>
    </row>
    <row r="3005" spans="14:25" ht="15" customHeight="1" x14ac:dyDescent="0.25">
      <c r="N3005" s="44"/>
      <c r="O3005" s="44"/>
      <c r="P3005" s="44"/>
      <c r="Q3005" s="44"/>
      <c r="R3005" s="44"/>
      <c r="S3005" s="44"/>
      <c r="T3005" s="44"/>
      <c r="U3005" s="44"/>
      <c r="V3005" s="44"/>
      <c r="W3005" s="44"/>
      <c r="X3005" s="44"/>
      <c r="Y3005" s="44"/>
    </row>
    <row r="3006" spans="14:25" ht="15" customHeight="1" x14ac:dyDescent="0.25">
      <c r="N3006" s="44"/>
      <c r="O3006" s="44"/>
      <c r="P3006" s="44"/>
      <c r="Q3006" s="44"/>
      <c r="R3006" s="44"/>
      <c r="S3006" s="44"/>
      <c r="T3006" s="44"/>
      <c r="U3006" s="44"/>
      <c r="V3006" s="44"/>
      <c r="W3006" s="44"/>
      <c r="X3006" s="44"/>
      <c r="Y3006" s="44"/>
    </row>
    <row r="3007" spans="14:25" ht="15" customHeight="1" x14ac:dyDescent="0.25">
      <c r="N3007" s="44"/>
      <c r="O3007" s="44"/>
      <c r="P3007" s="44"/>
      <c r="Q3007" s="44"/>
      <c r="R3007" s="44"/>
      <c r="S3007" s="44"/>
      <c r="T3007" s="44"/>
      <c r="U3007" s="44"/>
      <c r="V3007" s="44"/>
      <c r="W3007" s="44"/>
      <c r="X3007" s="44"/>
      <c r="Y3007" s="44"/>
    </row>
    <row r="3008" spans="14:25" ht="15" customHeight="1" x14ac:dyDescent="0.25">
      <c r="N3008" s="44"/>
      <c r="O3008" s="44"/>
      <c r="P3008" s="44"/>
      <c r="Q3008" s="44"/>
      <c r="R3008" s="44"/>
      <c r="S3008" s="44"/>
      <c r="T3008" s="44"/>
      <c r="U3008" s="44"/>
      <c r="V3008" s="44"/>
      <c r="W3008" s="44"/>
      <c r="X3008" s="44"/>
      <c r="Y3008" s="44"/>
    </row>
    <row r="3009" spans="14:25" ht="15" customHeight="1" x14ac:dyDescent="0.25">
      <c r="N3009" s="44"/>
      <c r="O3009" s="44"/>
      <c r="P3009" s="44"/>
      <c r="Q3009" s="44"/>
      <c r="R3009" s="44"/>
      <c r="S3009" s="44"/>
      <c r="T3009" s="44"/>
      <c r="U3009" s="44"/>
      <c r="V3009" s="44"/>
      <c r="W3009" s="44"/>
      <c r="X3009" s="44"/>
      <c r="Y3009" s="44"/>
    </row>
    <row r="3010" spans="14:25" ht="15" customHeight="1" x14ac:dyDescent="0.25">
      <c r="N3010" s="44"/>
      <c r="O3010" s="44"/>
      <c r="P3010" s="44"/>
      <c r="Q3010" s="44"/>
      <c r="R3010" s="44"/>
      <c r="S3010" s="44"/>
      <c r="T3010" s="44"/>
      <c r="U3010" s="44"/>
      <c r="V3010" s="44"/>
      <c r="W3010" s="44"/>
      <c r="X3010" s="44"/>
      <c r="Y3010" s="44"/>
    </row>
    <row r="3011" spans="14:25" ht="15" customHeight="1" x14ac:dyDescent="0.25">
      <c r="N3011" s="44"/>
      <c r="O3011" s="44"/>
      <c r="P3011" s="44"/>
      <c r="Q3011" s="44"/>
      <c r="R3011" s="44"/>
      <c r="S3011" s="44"/>
      <c r="T3011" s="44"/>
      <c r="U3011" s="44"/>
      <c r="V3011" s="44"/>
      <c r="W3011" s="44"/>
      <c r="X3011" s="44"/>
      <c r="Y3011" s="44"/>
    </row>
    <row r="3012" spans="14:25" ht="15" customHeight="1" x14ac:dyDescent="0.25">
      <c r="N3012" s="44"/>
      <c r="O3012" s="44"/>
      <c r="P3012" s="44"/>
      <c r="Q3012" s="44"/>
      <c r="R3012" s="44"/>
      <c r="S3012" s="44"/>
      <c r="T3012" s="44"/>
      <c r="U3012" s="44"/>
      <c r="V3012" s="44"/>
      <c r="W3012" s="44"/>
      <c r="X3012" s="44"/>
      <c r="Y3012" s="44"/>
    </row>
    <row r="3013" spans="14:25" ht="15" customHeight="1" x14ac:dyDescent="0.25">
      <c r="N3013" s="44"/>
      <c r="O3013" s="44"/>
      <c r="P3013" s="44"/>
      <c r="Q3013" s="44"/>
      <c r="R3013" s="44"/>
      <c r="S3013" s="44"/>
      <c r="T3013" s="44"/>
      <c r="U3013" s="44"/>
      <c r="V3013" s="44"/>
      <c r="W3013" s="44"/>
      <c r="X3013" s="44"/>
      <c r="Y3013" s="44"/>
    </row>
    <row r="3014" spans="14:25" ht="15" customHeight="1" x14ac:dyDescent="0.25">
      <c r="N3014" s="44"/>
      <c r="O3014" s="44"/>
      <c r="P3014" s="44"/>
      <c r="Q3014" s="44"/>
      <c r="R3014" s="44"/>
      <c r="S3014" s="44"/>
      <c r="T3014" s="44"/>
      <c r="U3014" s="44"/>
      <c r="V3014" s="44"/>
      <c r="W3014" s="44"/>
      <c r="X3014" s="44"/>
      <c r="Y3014" s="44"/>
    </row>
    <row r="3015" spans="14:25" ht="15" customHeight="1" x14ac:dyDescent="0.25">
      <c r="N3015" s="44"/>
      <c r="O3015" s="44"/>
      <c r="P3015" s="44"/>
      <c r="Q3015" s="44"/>
      <c r="R3015" s="44"/>
      <c r="S3015" s="44"/>
      <c r="T3015" s="44"/>
      <c r="U3015" s="44"/>
      <c r="V3015" s="44"/>
      <c r="W3015" s="44"/>
      <c r="X3015" s="44"/>
      <c r="Y3015" s="44"/>
    </row>
    <row r="3016" spans="14:25" ht="15" customHeight="1" x14ac:dyDescent="0.25">
      <c r="N3016" s="44"/>
      <c r="O3016" s="44"/>
      <c r="P3016" s="44"/>
      <c r="Q3016" s="44"/>
      <c r="R3016" s="44"/>
      <c r="S3016" s="44"/>
      <c r="T3016" s="44"/>
      <c r="U3016" s="44"/>
      <c r="V3016" s="44"/>
      <c r="W3016" s="44"/>
      <c r="X3016" s="44"/>
      <c r="Y3016" s="44"/>
    </row>
    <row r="3017" spans="14:25" ht="15" customHeight="1" x14ac:dyDescent="0.25">
      <c r="N3017" s="44"/>
      <c r="O3017" s="44"/>
      <c r="P3017" s="44"/>
      <c r="Q3017" s="44"/>
      <c r="R3017" s="44"/>
      <c r="S3017" s="44"/>
      <c r="T3017" s="44"/>
      <c r="U3017" s="44"/>
      <c r="V3017" s="44"/>
      <c r="W3017" s="44"/>
      <c r="X3017" s="44"/>
      <c r="Y3017" s="44"/>
    </row>
    <row r="3018" spans="14:25" ht="15" customHeight="1" x14ac:dyDescent="0.25">
      <c r="N3018" s="44"/>
      <c r="O3018" s="44"/>
      <c r="P3018" s="44"/>
      <c r="Q3018" s="44"/>
      <c r="R3018" s="44"/>
      <c r="S3018" s="44"/>
      <c r="T3018" s="44"/>
      <c r="U3018" s="44"/>
      <c r="V3018" s="44"/>
      <c r="W3018" s="44"/>
      <c r="X3018" s="44"/>
      <c r="Y3018" s="44"/>
    </row>
    <row r="3019" spans="14:25" ht="15" customHeight="1" x14ac:dyDescent="0.25">
      <c r="N3019" s="44"/>
      <c r="O3019" s="44"/>
      <c r="P3019" s="44"/>
      <c r="Q3019" s="44"/>
      <c r="R3019" s="44"/>
      <c r="S3019" s="44"/>
      <c r="T3019" s="44"/>
      <c r="U3019" s="44"/>
      <c r="V3019" s="44"/>
      <c r="W3019" s="44"/>
      <c r="X3019" s="44"/>
      <c r="Y3019" s="44"/>
    </row>
    <row r="3020" spans="14:25" ht="15" customHeight="1" x14ac:dyDescent="0.25">
      <c r="N3020" s="44"/>
      <c r="O3020" s="44"/>
      <c r="P3020" s="44"/>
      <c r="Q3020" s="44"/>
      <c r="R3020" s="44"/>
      <c r="S3020" s="44"/>
      <c r="T3020" s="44"/>
      <c r="U3020" s="44"/>
      <c r="V3020" s="44"/>
      <c r="W3020" s="44"/>
      <c r="X3020" s="44"/>
      <c r="Y3020" s="44"/>
    </row>
    <row r="3021" spans="14:25" ht="15" customHeight="1" x14ac:dyDescent="0.25">
      <c r="N3021" s="44"/>
      <c r="O3021" s="44"/>
      <c r="P3021" s="44"/>
      <c r="Q3021" s="44"/>
      <c r="R3021" s="44"/>
      <c r="S3021" s="44"/>
      <c r="T3021" s="44"/>
      <c r="U3021" s="44"/>
      <c r="V3021" s="44"/>
      <c r="W3021" s="44"/>
      <c r="X3021" s="44"/>
      <c r="Y3021" s="44"/>
    </row>
    <row r="3022" spans="14:25" ht="15" customHeight="1" x14ac:dyDescent="0.25">
      <c r="N3022" s="44"/>
      <c r="O3022" s="44"/>
      <c r="P3022" s="44"/>
      <c r="Q3022" s="44"/>
      <c r="R3022" s="44"/>
      <c r="S3022" s="44"/>
      <c r="T3022" s="44"/>
      <c r="U3022" s="44"/>
      <c r="V3022" s="44"/>
      <c r="W3022" s="44"/>
      <c r="X3022" s="44"/>
      <c r="Y3022" s="44"/>
    </row>
    <row r="3023" spans="14:25" ht="15" customHeight="1" x14ac:dyDescent="0.25">
      <c r="N3023" s="44"/>
      <c r="O3023" s="44"/>
      <c r="P3023" s="44"/>
      <c r="Q3023" s="44"/>
      <c r="R3023" s="44"/>
      <c r="S3023" s="44"/>
      <c r="T3023" s="44"/>
      <c r="U3023" s="44"/>
      <c r="V3023" s="44"/>
      <c r="W3023" s="44"/>
      <c r="X3023" s="44"/>
      <c r="Y3023" s="44"/>
    </row>
    <row r="3024" spans="14:25" ht="15" customHeight="1" x14ac:dyDescent="0.25">
      <c r="N3024" s="44"/>
      <c r="O3024" s="44"/>
      <c r="P3024" s="44"/>
      <c r="Q3024" s="44"/>
      <c r="R3024" s="44"/>
      <c r="S3024" s="44"/>
      <c r="T3024" s="44"/>
      <c r="U3024" s="44"/>
      <c r="V3024" s="44"/>
      <c r="W3024" s="44"/>
      <c r="X3024" s="44"/>
      <c r="Y3024" s="44"/>
    </row>
    <row r="3025" spans="14:25" ht="15" customHeight="1" x14ac:dyDescent="0.25">
      <c r="N3025" s="44"/>
      <c r="O3025" s="44"/>
      <c r="P3025" s="44"/>
      <c r="Q3025" s="44"/>
      <c r="R3025" s="44"/>
      <c r="S3025" s="44"/>
      <c r="T3025" s="44"/>
      <c r="U3025" s="44"/>
      <c r="V3025" s="44"/>
      <c r="W3025" s="44"/>
      <c r="X3025" s="44"/>
      <c r="Y3025" s="44"/>
    </row>
    <row r="3026" spans="14:25" ht="15" customHeight="1" x14ac:dyDescent="0.25">
      <c r="N3026" s="44"/>
      <c r="O3026" s="44"/>
      <c r="P3026" s="44"/>
      <c r="Q3026" s="44"/>
      <c r="R3026" s="44"/>
      <c r="S3026" s="44"/>
      <c r="T3026" s="44"/>
      <c r="U3026" s="44"/>
      <c r="V3026" s="44"/>
      <c r="W3026" s="44"/>
      <c r="X3026" s="44"/>
      <c r="Y3026" s="44"/>
    </row>
    <row r="3027" spans="14:25" ht="15" customHeight="1" x14ac:dyDescent="0.25">
      <c r="N3027" s="44"/>
      <c r="O3027" s="44"/>
      <c r="P3027" s="44"/>
      <c r="Q3027" s="44"/>
      <c r="R3027" s="44"/>
      <c r="S3027" s="44"/>
      <c r="T3027" s="44"/>
      <c r="U3027" s="44"/>
      <c r="V3027" s="44"/>
      <c r="W3027" s="44"/>
      <c r="X3027" s="44"/>
      <c r="Y3027" s="44"/>
    </row>
    <row r="3028" spans="14:25" ht="15" customHeight="1" x14ac:dyDescent="0.25">
      <c r="N3028" s="44"/>
      <c r="O3028" s="44"/>
      <c r="P3028" s="44"/>
      <c r="Q3028" s="44"/>
      <c r="R3028" s="44"/>
      <c r="S3028" s="44"/>
      <c r="T3028" s="44"/>
      <c r="U3028" s="44"/>
      <c r="V3028" s="44"/>
      <c r="W3028" s="44"/>
      <c r="X3028" s="44"/>
      <c r="Y3028" s="44"/>
    </row>
    <row r="3029" spans="14:25" ht="15" customHeight="1" x14ac:dyDescent="0.25">
      <c r="N3029" s="44"/>
      <c r="O3029" s="44"/>
      <c r="P3029" s="44"/>
      <c r="Q3029" s="44"/>
      <c r="R3029" s="44"/>
      <c r="S3029" s="44"/>
      <c r="T3029" s="44"/>
      <c r="U3029" s="44"/>
      <c r="V3029" s="44"/>
      <c r="W3029" s="44"/>
      <c r="X3029" s="44"/>
      <c r="Y3029" s="44"/>
    </row>
    <row r="3030" spans="14:25" ht="15" customHeight="1" x14ac:dyDescent="0.25">
      <c r="N3030" s="44"/>
      <c r="O3030" s="44"/>
      <c r="P3030" s="44"/>
      <c r="Q3030" s="44"/>
      <c r="R3030" s="44"/>
      <c r="S3030" s="44"/>
      <c r="T3030" s="44"/>
      <c r="U3030" s="44"/>
      <c r="V3030" s="44"/>
      <c r="W3030" s="44"/>
      <c r="X3030" s="44"/>
      <c r="Y3030" s="44"/>
    </row>
    <row r="3031" spans="14:25" ht="15" customHeight="1" x14ac:dyDescent="0.25">
      <c r="N3031" s="44"/>
      <c r="O3031" s="44"/>
      <c r="P3031" s="44"/>
      <c r="Q3031" s="44"/>
      <c r="R3031" s="44"/>
      <c r="S3031" s="44"/>
      <c r="T3031" s="44"/>
      <c r="U3031" s="44"/>
      <c r="V3031" s="44"/>
      <c r="W3031" s="44"/>
      <c r="X3031" s="44"/>
      <c r="Y3031" s="44"/>
    </row>
    <row r="3032" spans="14:25" ht="15" customHeight="1" x14ac:dyDescent="0.25">
      <c r="N3032" s="44"/>
      <c r="O3032" s="44"/>
      <c r="P3032" s="44"/>
      <c r="Q3032" s="44"/>
      <c r="R3032" s="44"/>
      <c r="S3032" s="44"/>
      <c r="T3032" s="44"/>
      <c r="U3032" s="44"/>
      <c r="V3032" s="44"/>
      <c r="W3032" s="44"/>
      <c r="X3032" s="44"/>
      <c r="Y3032" s="44"/>
    </row>
    <row r="3033" spans="14:25" ht="15" customHeight="1" x14ac:dyDescent="0.25">
      <c r="N3033" s="44"/>
      <c r="O3033" s="44"/>
      <c r="P3033" s="44"/>
      <c r="Q3033" s="44"/>
      <c r="R3033" s="44"/>
      <c r="S3033" s="44"/>
      <c r="T3033" s="44"/>
      <c r="U3033" s="44"/>
      <c r="V3033" s="44"/>
      <c r="W3033" s="44"/>
      <c r="X3033" s="44"/>
      <c r="Y3033" s="44"/>
    </row>
    <row r="3034" spans="14:25" ht="15" customHeight="1" x14ac:dyDescent="0.25">
      <c r="N3034" s="44"/>
      <c r="O3034" s="44"/>
      <c r="P3034" s="44"/>
      <c r="Q3034" s="44"/>
      <c r="R3034" s="44"/>
      <c r="S3034" s="44"/>
      <c r="T3034" s="44"/>
      <c r="U3034" s="44"/>
      <c r="V3034" s="44"/>
      <c r="W3034" s="44"/>
      <c r="X3034" s="44"/>
      <c r="Y3034" s="44"/>
    </row>
    <row r="3035" spans="14:25" ht="15" customHeight="1" x14ac:dyDescent="0.25">
      <c r="N3035" s="44"/>
      <c r="O3035" s="44"/>
      <c r="P3035" s="44"/>
      <c r="Q3035" s="44"/>
      <c r="R3035" s="44"/>
      <c r="S3035" s="44"/>
      <c r="T3035" s="44"/>
      <c r="U3035" s="44"/>
      <c r="V3035" s="44"/>
      <c r="W3035" s="44"/>
      <c r="X3035" s="44"/>
      <c r="Y3035" s="44"/>
    </row>
    <row r="3036" spans="14:25" ht="15" customHeight="1" x14ac:dyDescent="0.25">
      <c r="N3036" s="44"/>
      <c r="O3036" s="44"/>
      <c r="P3036" s="44"/>
      <c r="Q3036" s="44"/>
      <c r="R3036" s="44"/>
      <c r="S3036" s="44"/>
      <c r="T3036" s="44"/>
      <c r="U3036" s="44"/>
      <c r="V3036" s="44"/>
      <c r="W3036" s="44"/>
      <c r="X3036" s="44"/>
      <c r="Y3036" s="44"/>
    </row>
    <row r="3037" spans="14:25" ht="15" customHeight="1" x14ac:dyDescent="0.25">
      <c r="N3037" s="44"/>
      <c r="O3037" s="44"/>
      <c r="P3037" s="44"/>
      <c r="Q3037" s="44"/>
      <c r="R3037" s="44"/>
      <c r="S3037" s="44"/>
      <c r="T3037" s="44"/>
      <c r="U3037" s="44"/>
      <c r="V3037" s="44"/>
      <c r="W3037" s="44"/>
      <c r="X3037" s="44"/>
      <c r="Y3037" s="44"/>
    </row>
    <row r="3038" spans="14:25" ht="15" customHeight="1" x14ac:dyDescent="0.25">
      <c r="N3038" s="44"/>
      <c r="O3038" s="44"/>
      <c r="P3038" s="44"/>
      <c r="Q3038" s="44"/>
      <c r="R3038" s="44"/>
      <c r="S3038" s="44"/>
      <c r="T3038" s="44"/>
      <c r="U3038" s="44"/>
      <c r="V3038" s="44"/>
      <c r="W3038" s="44"/>
      <c r="X3038" s="44"/>
      <c r="Y3038" s="44"/>
    </row>
    <row r="3039" spans="14:25" ht="15" customHeight="1" x14ac:dyDescent="0.25">
      <c r="N3039" s="44"/>
      <c r="O3039" s="44"/>
      <c r="P3039" s="44"/>
      <c r="Q3039" s="44"/>
      <c r="R3039" s="44"/>
      <c r="S3039" s="44"/>
      <c r="T3039" s="44"/>
      <c r="U3039" s="44"/>
      <c r="V3039" s="44"/>
      <c r="W3039" s="44"/>
      <c r="X3039" s="44"/>
      <c r="Y3039" s="44"/>
    </row>
    <row r="3040" spans="14:25" ht="15" customHeight="1" x14ac:dyDescent="0.25">
      <c r="N3040" s="44"/>
      <c r="O3040" s="44"/>
      <c r="P3040" s="44"/>
      <c r="Q3040" s="44"/>
      <c r="R3040" s="44"/>
      <c r="S3040" s="44"/>
      <c r="T3040" s="44"/>
      <c r="U3040" s="44"/>
      <c r="V3040" s="44"/>
      <c r="W3040" s="44"/>
      <c r="X3040" s="44"/>
      <c r="Y3040" s="44"/>
    </row>
    <row r="3041" spans="14:25" ht="15" customHeight="1" x14ac:dyDescent="0.25">
      <c r="N3041" s="44"/>
      <c r="O3041" s="44"/>
      <c r="P3041" s="44"/>
      <c r="Q3041" s="44"/>
      <c r="R3041" s="44"/>
      <c r="S3041" s="44"/>
      <c r="T3041" s="44"/>
      <c r="U3041" s="44"/>
      <c r="V3041" s="44"/>
      <c r="W3041" s="44"/>
      <c r="X3041" s="44"/>
      <c r="Y3041" s="44"/>
    </row>
    <row r="3042" spans="14:25" ht="15" customHeight="1" x14ac:dyDescent="0.25">
      <c r="N3042" s="44"/>
      <c r="O3042" s="44"/>
      <c r="P3042" s="44"/>
      <c r="Q3042" s="44"/>
      <c r="R3042" s="44"/>
      <c r="S3042" s="44"/>
      <c r="T3042" s="44"/>
      <c r="U3042" s="44"/>
      <c r="V3042" s="44"/>
      <c r="W3042" s="44"/>
      <c r="X3042" s="44"/>
      <c r="Y3042" s="44"/>
    </row>
    <row r="3043" spans="14:25" ht="15" customHeight="1" x14ac:dyDescent="0.25">
      <c r="N3043" s="44"/>
      <c r="O3043" s="44"/>
      <c r="P3043" s="44"/>
      <c r="Q3043" s="44"/>
      <c r="R3043" s="44"/>
      <c r="S3043" s="44"/>
      <c r="T3043" s="44"/>
      <c r="U3043" s="44"/>
      <c r="V3043" s="44"/>
      <c r="W3043" s="44"/>
      <c r="X3043" s="44"/>
      <c r="Y3043" s="44"/>
    </row>
    <row r="3044" spans="14:25" ht="15" customHeight="1" x14ac:dyDescent="0.25">
      <c r="N3044" s="44"/>
      <c r="O3044" s="44"/>
      <c r="P3044" s="44"/>
      <c r="Q3044" s="44"/>
      <c r="R3044" s="44"/>
      <c r="S3044" s="44"/>
      <c r="T3044" s="44"/>
      <c r="U3044" s="44"/>
      <c r="V3044" s="44"/>
      <c r="W3044" s="44"/>
      <c r="X3044" s="44"/>
      <c r="Y3044" s="44"/>
    </row>
    <row r="3045" spans="14:25" ht="15" customHeight="1" x14ac:dyDescent="0.25">
      <c r="N3045" s="44"/>
      <c r="O3045" s="44"/>
      <c r="P3045" s="44"/>
      <c r="Q3045" s="44"/>
      <c r="R3045" s="44"/>
      <c r="S3045" s="44"/>
      <c r="T3045" s="44"/>
      <c r="U3045" s="44"/>
      <c r="V3045" s="44"/>
      <c r="W3045" s="44"/>
      <c r="X3045" s="44"/>
      <c r="Y3045" s="44"/>
    </row>
    <row r="3046" spans="14:25" ht="15" customHeight="1" x14ac:dyDescent="0.25">
      <c r="N3046" s="44"/>
      <c r="O3046" s="44"/>
      <c r="P3046" s="44"/>
      <c r="Q3046" s="44"/>
      <c r="R3046" s="44"/>
      <c r="S3046" s="44"/>
      <c r="T3046" s="44"/>
      <c r="U3046" s="44"/>
      <c r="V3046" s="44"/>
      <c r="W3046" s="44"/>
      <c r="X3046" s="44"/>
      <c r="Y3046" s="44"/>
    </row>
    <row r="3047" spans="14:25" ht="15" customHeight="1" x14ac:dyDescent="0.25">
      <c r="N3047" s="44"/>
      <c r="O3047" s="44"/>
      <c r="P3047" s="44"/>
      <c r="Q3047" s="44"/>
      <c r="R3047" s="44"/>
      <c r="S3047" s="44"/>
      <c r="T3047" s="44"/>
      <c r="U3047" s="44"/>
      <c r="V3047" s="44"/>
      <c r="W3047" s="44"/>
      <c r="X3047" s="44"/>
      <c r="Y3047" s="44"/>
    </row>
    <row r="3048" spans="14:25" ht="15" customHeight="1" x14ac:dyDescent="0.25">
      <c r="N3048" s="44"/>
      <c r="O3048" s="44"/>
      <c r="P3048" s="44"/>
      <c r="Q3048" s="44"/>
      <c r="R3048" s="44"/>
      <c r="S3048" s="44"/>
      <c r="T3048" s="44"/>
      <c r="U3048" s="44"/>
      <c r="V3048" s="44"/>
      <c r="W3048" s="44"/>
      <c r="X3048" s="44"/>
      <c r="Y3048" s="44"/>
    </row>
    <row r="3049" spans="14:25" ht="15" customHeight="1" x14ac:dyDescent="0.25">
      <c r="N3049" s="44"/>
      <c r="O3049" s="44"/>
      <c r="P3049" s="44"/>
      <c r="Q3049" s="44"/>
      <c r="R3049" s="44"/>
      <c r="S3049" s="44"/>
      <c r="T3049" s="44"/>
      <c r="U3049" s="44"/>
      <c r="V3049" s="44"/>
      <c r="W3049" s="44"/>
      <c r="X3049" s="44"/>
      <c r="Y3049" s="44"/>
    </row>
    <row r="3050" spans="14:25" ht="15" customHeight="1" x14ac:dyDescent="0.25">
      <c r="N3050" s="44"/>
      <c r="O3050" s="44"/>
      <c r="P3050" s="44"/>
      <c r="Q3050" s="44"/>
      <c r="R3050" s="44"/>
      <c r="S3050" s="44"/>
      <c r="T3050" s="44"/>
      <c r="U3050" s="44"/>
      <c r="V3050" s="44"/>
      <c r="W3050" s="44"/>
      <c r="X3050" s="44"/>
      <c r="Y3050" s="44"/>
    </row>
    <row r="3051" spans="14:25" ht="15" customHeight="1" x14ac:dyDescent="0.25">
      <c r="N3051" s="44"/>
      <c r="O3051" s="44"/>
      <c r="P3051" s="44"/>
      <c r="Q3051" s="44"/>
      <c r="R3051" s="44"/>
      <c r="S3051" s="44"/>
      <c r="T3051" s="44"/>
      <c r="U3051" s="44"/>
      <c r="V3051" s="44"/>
      <c r="W3051" s="44"/>
      <c r="X3051" s="44"/>
      <c r="Y3051" s="44"/>
    </row>
    <row r="3052" spans="14:25" ht="15" customHeight="1" x14ac:dyDescent="0.25">
      <c r="N3052" s="44"/>
      <c r="O3052" s="44"/>
      <c r="P3052" s="44"/>
      <c r="Q3052" s="44"/>
      <c r="R3052" s="44"/>
      <c r="S3052" s="44"/>
      <c r="T3052" s="44"/>
      <c r="U3052" s="44"/>
      <c r="V3052" s="44"/>
      <c r="W3052" s="44"/>
      <c r="X3052" s="44"/>
      <c r="Y3052" s="44"/>
    </row>
    <row r="3053" spans="14:25" ht="15" customHeight="1" x14ac:dyDescent="0.25">
      <c r="N3053" s="44"/>
      <c r="O3053" s="44"/>
      <c r="P3053" s="44"/>
      <c r="Q3053" s="44"/>
      <c r="R3053" s="44"/>
      <c r="S3053" s="44"/>
      <c r="T3053" s="44"/>
      <c r="U3053" s="44"/>
      <c r="V3053" s="44"/>
      <c r="W3053" s="44"/>
      <c r="X3053" s="44"/>
      <c r="Y3053" s="44"/>
    </row>
    <row r="3054" spans="14:25" ht="15" customHeight="1" x14ac:dyDescent="0.25">
      <c r="N3054" s="44"/>
      <c r="O3054" s="44"/>
      <c r="P3054" s="44"/>
      <c r="Q3054" s="44"/>
      <c r="R3054" s="44"/>
      <c r="S3054" s="44"/>
      <c r="T3054" s="44"/>
      <c r="U3054" s="44"/>
      <c r="V3054" s="44"/>
      <c r="W3054" s="44"/>
      <c r="X3054" s="44"/>
      <c r="Y3054" s="44"/>
    </row>
    <row r="3055" spans="14:25" ht="15" customHeight="1" x14ac:dyDescent="0.25">
      <c r="N3055" s="44"/>
      <c r="O3055" s="44"/>
      <c r="P3055" s="44"/>
      <c r="Q3055" s="44"/>
      <c r="R3055" s="44"/>
      <c r="S3055" s="44"/>
      <c r="T3055" s="44"/>
      <c r="U3055" s="44"/>
      <c r="V3055" s="44"/>
      <c r="W3055" s="44"/>
      <c r="X3055" s="44"/>
      <c r="Y3055" s="44"/>
    </row>
    <row r="3056" spans="14:25" ht="15" customHeight="1" x14ac:dyDescent="0.25">
      <c r="N3056" s="44"/>
      <c r="O3056" s="44"/>
      <c r="P3056" s="44"/>
      <c r="Q3056" s="44"/>
      <c r="R3056" s="44"/>
      <c r="S3056" s="44"/>
      <c r="T3056" s="44"/>
      <c r="U3056" s="44"/>
      <c r="V3056" s="44"/>
      <c r="W3056" s="44"/>
      <c r="X3056" s="44"/>
      <c r="Y3056" s="44"/>
    </row>
    <row r="3057" spans="14:25" ht="15" customHeight="1" x14ac:dyDescent="0.25">
      <c r="N3057" s="44"/>
      <c r="O3057" s="44"/>
      <c r="P3057" s="44"/>
      <c r="Q3057" s="44"/>
      <c r="R3057" s="44"/>
      <c r="S3057" s="44"/>
      <c r="T3057" s="44"/>
      <c r="U3057" s="44"/>
      <c r="V3057" s="44"/>
      <c r="W3057" s="44"/>
      <c r="X3057" s="44"/>
      <c r="Y3057" s="44"/>
    </row>
    <row r="3058" spans="14:25" ht="15" customHeight="1" x14ac:dyDescent="0.25">
      <c r="N3058" s="44"/>
      <c r="O3058" s="44"/>
      <c r="P3058" s="44"/>
      <c r="Q3058" s="44"/>
      <c r="R3058" s="44"/>
      <c r="S3058" s="44"/>
      <c r="T3058" s="44"/>
      <c r="U3058" s="44"/>
      <c r="V3058" s="44"/>
      <c r="W3058" s="44"/>
      <c r="X3058" s="44"/>
      <c r="Y3058" s="44"/>
    </row>
    <row r="3059" spans="14:25" ht="15" customHeight="1" x14ac:dyDescent="0.25">
      <c r="N3059" s="44"/>
      <c r="O3059" s="44"/>
      <c r="P3059" s="44"/>
      <c r="Q3059" s="44"/>
      <c r="R3059" s="44"/>
      <c r="S3059" s="44"/>
      <c r="T3059" s="44"/>
      <c r="U3059" s="44"/>
      <c r="V3059" s="44"/>
      <c r="W3059" s="44"/>
      <c r="X3059" s="44"/>
      <c r="Y3059" s="44"/>
    </row>
    <row r="3060" spans="14:25" ht="15" customHeight="1" x14ac:dyDescent="0.25">
      <c r="N3060" s="44"/>
      <c r="O3060" s="44"/>
      <c r="P3060" s="44"/>
      <c r="Q3060" s="44"/>
      <c r="R3060" s="44"/>
      <c r="S3060" s="44"/>
      <c r="T3060" s="44"/>
      <c r="U3060" s="44"/>
      <c r="V3060" s="44"/>
      <c r="W3060" s="44"/>
      <c r="X3060" s="44"/>
      <c r="Y3060" s="44"/>
    </row>
    <row r="3061" spans="14:25" ht="15" customHeight="1" x14ac:dyDescent="0.25">
      <c r="N3061" s="44"/>
      <c r="O3061" s="44"/>
      <c r="P3061" s="44"/>
      <c r="Q3061" s="44"/>
      <c r="R3061" s="44"/>
      <c r="S3061" s="44"/>
      <c r="T3061" s="44"/>
      <c r="U3061" s="44"/>
      <c r="V3061" s="44"/>
      <c r="W3061" s="44"/>
      <c r="X3061" s="44"/>
      <c r="Y3061" s="44"/>
    </row>
    <row r="3062" spans="14:25" ht="15" customHeight="1" x14ac:dyDescent="0.25">
      <c r="N3062" s="44"/>
      <c r="O3062" s="44"/>
      <c r="P3062" s="44"/>
      <c r="Q3062" s="44"/>
      <c r="R3062" s="44"/>
      <c r="S3062" s="44"/>
      <c r="T3062" s="44"/>
      <c r="U3062" s="44"/>
      <c r="V3062" s="44"/>
      <c r="W3062" s="44"/>
      <c r="X3062" s="44"/>
      <c r="Y3062" s="44"/>
    </row>
    <row r="3063" spans="14:25" ht="15" customHeight="1" x14ac:dyDescent="0.25">
      <c r="N3063" s="44"/>
      <c r="O3063" s="44"/>
      <c r="P3063" s="44"/>
      <c r="Q3063" s="44"/>
      <c r="R3063" s="44"/>
      <c r="S3063" s="44"/>
      <c r="T3063" s="44"/>
      <c r="U3063" s="44"/>
      <c r="V3063" s="44"/>
      <c r="W3063" s="44"/>
      <c r="X3063" s="44"/>
      <c r="Y3063" s="44"/>
    </row>
    <row r="3064" spans="14:25" ht="15" customHeight="1" x14ac:dyDescent="0.25">
      <c r="N3064" s="44"/>
      <c r="O3064" s="44"/>
      <c r="P3064" s="44"/>
      <c r="Q3064" s="44"/>
      <c r="R3064" s="44"/>
      <c r="S3064" s="44"/>
      <c r="T3064" s="44"/>
      <c r="U3064" s="44"/>
      <c r="V3064" s="44"/>
      <c r="W3064" s="44"/>
      <c r="X3064" s="44"/>
      <c r="Y3064" s="44"/>
    </row>
    <row r="3065" spans="14:25" ht="15" customHeight="1" x14ac:dyDescent="0.25">
      <c r="N3065" s="44"/>
      <c r="O3065" s="44"/>
      <c r="P3065" s="44"/>
      <c r="Q3065" s="44"/>
      <c r="R3065" s="44"/>
      <c r="S3065" s="44"/>
      <c r="T3065" s="44"/>
      <c r="U3065" s="44"/>
      <c r="V3065" s="44"/>
      <c r="W3065" s="44"/>
      <c r="X3065" s="44"/>
      <c r="Y3065" s="44"/>
    </row>
    <row r="3066" spans="14:25" ht="15" customHeight="1" x14ac:dyDescent="0.25">
      <c r="N3066" s="44"/>
      <c r="O3066" s="44"/>
      <c r="P3066" s="44"/>
      <c r="Q3066" s="44"/>
      <c r="R3066" s="44"/>
      <c r="S3066" s="44"/>
      <c r="T3066" s="44"/>
      <c r="U3066" s="44"/>
      <c r="V3066" s="44"/>
      <c r="W3066" s="44"/>
      <c r="X3066" s="44"/>
      <c r="Y3066" s="44"/>
    </row>
    <row r="3067" spans="14:25" ht="15" customHeight="1" x14ac:dyDescent="0.25">
      <c r="N3067" s="44"/>
      <c r="O3067" s="44"/>
      <c r="P3067" s="44"/>
      <c r="Q3067" s="44"/>
      <c r="R3067" s="44"/>
      <c r="S3067" s="44"/>
      <c r="T3067" s="44"/>
      <c r="U3067" s="44"/>
      <c r="V3067" s="44"/>
      <c r="W3067" s="44"/>
      <c r="X3067" s="44"/>
      <c r="Y3067" s="44"/>
    </row>
    <row r="3068" spans="14:25" ht="15" customHeight="1" x14ac:dyDescent="0.25">
      <c r="N3068" s="44"/>
      <c r="O3068" s="44"/>
      <c r="P3068" s="44"/>
      <c r="Q3068" s="44"/>
      <c r="R3068" s="44"/>
      <c r="S3068" s="44"/>
      <c r="T3068" s="44"/>
      <c r="U3068" s="44"/>
      <c r="V3068" s="44"/>
      <c r="W3068" s="44"/>
      <c r="X3068" s="44"/>
      <c r="Y3068" s="44"/>
    </row>
    <row r="3069" spans="14:25" ht="15" customHeight="1" x14ac:dyDescent="0.25">
      <c r="N3069" s="44"/>
      <c r="O3069" s="44"/>
      <c r="P3069" s="44"/>
      <c r="Q3069" s="44"/>
      <c r="R3069" s="44"/>
      <c r="S3069" s="44"/>
      <c r="T3069" s="44"/>
      <c r="U3069" s="44"/>
      <c r="V3069" s="44"/>
      <c r="W3069" s="44"/>
      <c r="X3069" s="44"/>
      <c r="Y3069" s="44"/>
    </row>
    <row r="3070" spans="14:25" ht="15" customHeight="1" x14ac:dyDescent="0.25">
      <c r="N3070" s="44"/>
      <c r="O3070" s="44"/>
      <c r="P3070" s="44"/>
      <c r="Q3070" s="44"/>
      <c r="R3070" s="44"/>
      <c r="S3070" s="44"/>
      <c r="T3070" s="44"/>
      <c r="U3070" s="44"/>
      <c r="V3070" s="44"/>
      <c r="W3070" s="44"/>
      <c r="X3070" s="44"/>
      <c r="Y3070" s="44"/>
    </row>
    <row r="3071" spans="14:25" ht="15" customHeight="1" x14ac:dyDescent="0.25">
      <c r="N3071" s="44"/>
      <c r="O3071" s="44"/>
      <c r="P3071" s="44"/>
      <c r="Q3071" s="44"/>
      <c r="R3071" s="44"/>
      <c r="S3071" s="44"/>
      <c r="T3071" s="44"/>
      <c r="U3071" s="44"/>
      <c r="V3071" s="44"/>
      <c r="W3071" s="44"/>
      <c r="X3071" s="44"/>
      <c r="Y3071" s="44"/>
    </row>
    <row r="3072" spans="14:25" ht="15" customHeight="1" x14ac:dyDescent="0.25">
      <c r="N3072" s="44"/>
      <c r="O3072" s="44"/>
      <c r="P3072" s="44"/>
      <c r="Q3072" s="44"/>
      <c r="R3072" s="44"/>
      <c r="S3072" s="44"/>
      <c r="T3072" s="44"/>
      <c r="U3072" s="44"/>
      <c r="V3072" s="44"/>
      <c r="W3072" s="44"/>
      <c r="X3072" s="44"/>
      <c r="Y3072" s="44"/>
    </row>
    <row r="3073" spans="14:25" ht="15" customHeight="1" x14ac:dyDescent="0.25">
      <c r="N3073" s="44"/>
      <c r="O3073" s="44"/>
      <c r="P3073" s="44"/>
      <c r="Q3073" s="44"/>
      <c r="R3073" s="44"/>
      <c r="S3073" s="44"/>
      <c r="T3073" s="44"/>
      <c r="U3073" s="44"/>
      <c r="V3073" s="44"/>
      <c r="W3073" s="44"/>
      <c r="X3073" s="44"/>
      <c r="Y3073" s="44"/>
    </row>
    <row r="3074" spans="14:25" ht="15" customHeight="1" x14ac:dyDescent="0.25">
      <c r="N3074" s="44"/>
      <c r="O3074" s="44"/>
      <c r="P3074" s="44"/>
      <c r="Q3074" s="44"/>
      <c r="R3074" s="44"/>
      <c r="S3074" s="44"/>
      <c r="T3074" s="44"/>
      <c r="U3074" s="44"/>
      <c r="V3074" s="44"/>
      <c r="W3074" s="44"/>
      <c r="X3074" s="44"/>
      <c r="Y3074" s="44"/>
    </row>
    <row r="3075" spans="14:25" ht="15" customHeight="1" x14ac:dyDescent="0.25">
      <c r="N3075" s="44"/>
      <c r="O3075" s="44"/>
      <c r="P3075" s="44"/>
      <c r="Q3075" s="44"/>
      <c r="R3075" s="44"/>
      <c r="S3075" s="44"/>
      <c r="T3075" s="44"/>
      <c r="U3075" s="44"/>
      <c r="V3075" s="44"/>
      <c r="W3075" s="44"/>
      <c r="X3075" s="44"/>
      <c r="Y3075" s="44"/>
    </row>
    <row r="3076" spans="14:25" ht="15" customHeight="1" x14ac:dyDescent="0.25">
      <c r="N3076" s="44"/>
      <c r="O3076" s="44"/>
      <c r="P3076" s="44"/>
      <c r="Q3076" s="44"/>
      <c r="R3076" s="44"/>
      <c r="S3076" s="44"/>
      <c r="T3076" s="44"/>
      <c r="U3076" s="44"/>
      <c r="V3076" s="44"/>
      <c r="W3076" s="44"/>
      <c r="X3076" s="44"/>
      <c r="Y3076" s="44"/>
    </row>
    <row r="3077" spans="14:25" ht="15" customHeight="1" x14ac:dyDescent="0.25">
      <c r="N3077" s="44"/>
      <c r="O3077" s="44"/>
      <c r="P3077" s="44"/>
      <c r="Q3077" s="44"/>
      <c r="R3077" s="44"/>
      <c r="S3077" s="44"/>
      <c r="T3077" s="44"/>
      <c r="U3077" s="44"/>
      <c r="V3077" s="44"/>
      <c r="W3077" s="44"/>
      <c r="X3077" s="44"/>
      <c r="Y3077" s="44"/>
    </row>
    <row r="3078" spans="14:25" ht="15" customHeight="1" x14ac:dyDescent="0.25">
      <c r="N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44"/>
      <c r="Y3078" s="44"/>
    </row>
    <row r="3079" spans="14:25" ht="15" customHeight="1" x14ac:dyDescent="0.25">
      <c r="N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44"/>
    </row>
    <row r="3080" spans="14:25" ht="15" customHeight="1" x14ac:dyDescent="0.25">
      <c r="N3080" s="44"/>
      <c r="O3080" s="44"/>
      <c r="P3080" s="44"/>
      <c r="Q3080" s="44"/>
      <c r="R3080" s="44"/>
      <c r="S3080" s="44"/>
      <c r="T3080" s="44"/>
      <c r="U3080" s="44"/>
      <c r="V3080" s="44"/>
      <c r="W3080" s="44"/>
      <c r="X3080" s="44"/>
      <c r="Y3080" s="44"/>
    </row>
    <row r="3081" spans="14:25" ht="15" customHeight="1" x14ac:dyDescent="0.25">
      <c r="N3081" s="44"/>
      <c r="O3081" s="44"/>
      <c r="P3081" s="44"/>
      <c r="Q3081" s="44"/>
      <c r="R3081" s="44"/>
      <c r="S3081" s="44"/>
      <c r="T3081" s="44"/>
      <c r="U3081" s="44"/>
      <c r="V3081" s="44"/>
      <c r="W3081" s="44"/>
      <c r="X3081" s="44"/>
      <c r="Y3081" s="44"/>
    </row>
    <row r="3082" spans="14:25" ht="15" customHeight="1" x14ac:dyDescent="0.25">
      <c r="N3082" s="44"/>
      <c r="O3082" s="44"/>
      <c r="P3082" s="44"/>
      <c r="Q3082" s="44"/>
      <c r="R3082" s="44"/>
      <c r="S3082" s="44"/>
      <c r="T3082" s="44"/>
      <c r="U3082" s="44"/>
      <c r="V3082" s="44"/>
      <c r="W3082" s="44"/>
      <c r="X3082" s="44"/>
      <c r="Y3082" s="44"/>
    </row>
    <row r="3083" spans="14:25" ht="15" customHeight="1" x14ac:dyDescent="0.25">
      <c r="N3083" s="44"/>
      <c r="O3083" s="44"/>
      <c r="P3083" s="44"/>
      <c r="Q3083" s="44"/>
      <c r="R3083" s="44"/>
      <c r="S3083" s="44"/>
      <c r="T3083" s="44"/>
      <c r="U3083" s="44"/>
      <c r="V3083" s="44"/>
      <c r="W3083" s="44"/>
      <c r="X3083" s="44"/>
      <c r="Y3083" s="44"/>
    </row>
    <row r="3084" spans="14:25" ht="15" customHeight="1" x14ac:dyDescent="0.25">
      <c r="N3084" s="44"/>
      <c r="O3084" s="44"/>
      <c r="P3084" s="44"/>
      <c r="Q3084" s="44"/>
      <c r="R3084" s="44"/>
      <c r="S3084" s="44"/>
      <c r="T3084" s="44"/>
      <c r="U3084" s="44"/>
      <c r="V3084" s="44"/>
      <c r="W3084" s="44"/>
      <c r="X3084" s="44"/>
      <c r="Y3084" s="44"/>
    </row>
    <row r="3085" spans="14:25" ht="15" customHeight="1" x14ac:dyDescent="0.25">
      <c r="N3085" s="44"/>
      <c r="O3085" s="44"/>
      <c r="P3085" s="44"/>
      <c r="Q3085" s="44"/>
      <c r="R3085" s="44"/>
      <c r="S3085" s="44"/>
      <c r="T3085" s="44"/>
      <c r="U3085" s="44"/>
      <c r="V3085" s="44"/>
      <c r="W3085" s="44"/>
      <c r="X3085" s="44"/>
      <c r="Y3085" s="44"/>
    </row>
    <row r="3086" spans="14:25" ht="15" customHeight="1" x14ac:dyDescent="0.25">
      <c r="N3086" s="44"/>
      <c r="O3086" s="44"/>
      <c r="P3086" s="44"/>
      <c r="Q3086" s="44"/>
      <c r="R3086" s="44"/>
      <c r="S3086" s="44"/>
      <c r="T3086" s="44"/>
      <c r="U3086" s="44"/>
      <c r="V3086" s="44"/>
      <c r="W3086" s="44"/>
      <c r="X3086" s="44"/>
      <c r="Y3086" s="44"/>
    </row>
    <row r="3087" spans="14:25" ht="15" customHeight="1" x14ac:dyDescent="0.25">
      <c r="N3087" s="44"/>
      <c r="O3087" s="44"/>
      <c r="P3087" s="44"/>
      <c r="Q3087" s="44"/>
      <c r="R3087" s="44"/>
      <c r="S3087" s="44"/>
      <c r="T3087" s="44"/>
      <c r="U3087" s="44"/>
      <c r="V3087" s="44"/>
      <c r="W3087" s="44"/>
      <c r="X3087" s="44"/>
      <c r="Y3087" s="44"/>
    </row>
    <row r="3088" spans="14:25" ht="15" customHeight="1" x14ac:dyDescent="0.25">
      <c r="N3088" s="44"/>
      <c r="O3088" s="44"/>
      <c r="P3088" s="44"/>
      <c r="Q3088" s="44"/>
      <c r="R3088" s="44"/>
      <c r="S3088" s="44"/>
      <c r="T3088" s="44"/>
      <c r="U3088" s="44"/>
      <c r="V3088" s="44"/>
      <c r="W3088" s="44"/>
      <c r="X3088" s="44"/>
      <c r="Y3088" s="44"/>
    </row>
    <row r="3089" spans="14:25" ht="15" customHeight="1" x14ac:dyDescent="0.25">
      <c r="N3089" s="44"/>
      <c r="O3089" s="44"/>
      <c r="P3089" s="44"/>
      <c r="Q3089" s="44"/>
      <c r="R3089" s="44"/>
      <c r="S3089" s="44"/>
      <c r="T3089" s="44"/>
      <c r="U3089" s="44"/>
      <c r="V3089" s="44"/>
      <c r="W3089" s="44"/>
      <c r="X3089" s="44"/>
      <c r="Y3089" s="44"/>
    </row>
    <row r="3090" spans="14:25" ht="15" customHeight="1" x14ac:dyDescent="0.25">
      <c r="N3090" s="44"/>
      <c r="O3090" s="44"/>
      <c r="P3090" s="44"/>
      <c r="Q3090" s="44"/>
      <c r="R3090" s="44"/>
      <c r="S3090" s="44"/>
      <c r="T3090" s="44"/>
      <c r="U3090" s="44"/>
      <c r="V3090" s="44"/>
      <c r="W3090" s="44"/>
      <c r="X3090" s="44"/>
      <c r="Y3090" s="44"/>
    </row>
    <row r="3091" spans="14:25" ht="15" customHeight="1" x14ac:dyDescent="0.25">
      <c r="N3091" s="44"/>
      <c r="O3091" s="44"/>
      <c r="P3091" s="44"/>
      <c r="Q3091" s="44"/>
      <c r="R3091" s="44"/>
      <c r="S3091" s="44"/>
      <c r="T3091" s="44"/>
      <c r="U3091" s="44"/>
      <c r="V3091" s="44"/>
      <c r="W3091" s="44"/>
      <c r="X3091" s="44"/>
      <c r="Y3091" s="44"/>
    </row>
    <row r="3092" spans="14:25" ht="15" customHeight="1" x14ac:dyDescent="0.25">
      <c r="N3092" s="44"/>
      <c r="O3092" s="44"/>
      <c r="P3092" s="44"/>
      <c r="Q3092" s="44"/>
      <c r="R3092" s="44"/>
      <c r="S3092" s="44"/>
      <c r="T3092" s="44"/>
      <c r="U3092" s="44"/>
      <c r="V3092" s="44"/>
      <c r="W3092" s="44"/>
      <c r="X3092" s="44"/>
      <c r="Y3092" s="44"/>
    </row>
    <row r="3093" spans="14:25" ht="15" customHeight="1" x14ac:dyDescent="0.25">
      <c r="N3093" s="44"/>
      <c r="O3093" s="44"/>
      <c r="P3093" s="44"/>
      <c r="Q3093" s="44"/>
      <c r="R3093" s="44"/>
      <c r="S3093" s="44"/>
      <c r="T3093" s="44"/>
      <c r="U3093" s="44"/>
      <c r="V3093" s="44"/>
      <c r="W3093" s="44"/>
      <c r="X3093" s="44"/>
      <c r="Y3093" s="44"/>
    </row>
    <row r="3094" spans="14:25" ht="15" customHeight="1" x14ac:dyDescent="0.25">
      <c r="N3094" s="44"/>
      <c r="O3094" s="44"/>
      <c r="P3094" s="44"/>
      <c r="Q3094" s="44"/>
      <c r="R3094" s="44"/>
      <c r="S3094" s="44"/>
      <c r="T3094" s="44"/>
      <c r="U3094" s="44"/>
      <c r="V3094" s="44"/>
      <c r="W3094" s="44"/>
      <c r="X3094" s="44"/>
      <c r="Y3094" s="44"/>
    </row>
    <row r="3095" spans="14:25" ht="15" customHeight="1" x14ac:dyDescent="0.25">
      <c r="N3095" s="44"/>
      <c r="O3095" s="44"/>
      <c r="P3095" s="44"/>
      <c r="Q3095" s="44"/>
      <c r="R3095" s="44"/>
      <c r="S3095" s="44"/>
      <c r="T3095" s="44"/>
      <c r="U3095" s="44"/>
      <c r="V3095" s="44"/>
      <c r="W3095" s="44"/>
      <c r="X3095" s="44"/>
      <c r="Y3095" s="44"/>
    </row>
    <row r="3096" spans="14:25" ht="15" customHeight="1" x14ac:dyDescent="0.25">
      <c r="N3096" s="44"/>
      <c r="O3096" s="44"/>
      <c r="P3096" s="44"/>
      <c r="Q3096" s="44"/>
      <c r="R3096" s="44"/>
      <c r="S3096" s="44"/>
      <c r="T3096" s="44"/>
      <c r="U3096" s="44"/>
      <c r="V3096" s="44"/>
      <c r="W3096" s="44"/>
      <c r="X3096" s="44"/>
      <c r="Y3096" s="44"/>
    </row>
    <row r="3097" spans="14:25" ht="15" customHeight="1" x14ac:dyDescent="0.25">
      <c r="N3097" s="44"/>
      <c r="O3097" s="44"/>
      <c r="P3097" s="44"/>
      <c r="Q3097" s="44"/>
      <c r="R3097" s="44"/>
      <c r="S3097" s="44"/>
      <c r="T3097" s="44"/>
      <c r="U3097" s="44"/>
      <c r="V3097" s="44"/>
      <c r="W3097" s="44"/>
      <c r="X3097" s="44"/>
      <c r="Y3097" s="44"/>
    </row>
    <row r="3098" spans="14:25" ht="15" customHeight="1" x14ac:dyDescent="0.25">
      <c r="N3098" s="44"/>
      <c r="O3098" s="44"/>
      <c r="P3098" s="44"/>
      <c r="Q3098" s="44"/>
      <c r="R3098" s="44"/>
      <c r="S3098" s="44"/>
      <c r="T3098" s="44"/>
      <c r="U3098" s="44"/>
      <c r="V3098" s="44"/>
      <c r="W3098" s="44"/>
      <c r="X3098" s="44"/>
      <c r="Y3098" s="44"/>
    </row>
    <row r="3099" spans="14:25" ht="15" customHeight="1" x14ac:dyDescent="0.25">
      <c r="N3099" s="44"/>
      <c r="O3099" s="44"/>
      <c r="P3099" s="44"/>
      <c r="Q3099" s="44"/>
      <c r="R3099" s="44"/>
      <c r="S3099" s="44"/>
      <c r="T3099" s="44"/>
      <c r="U3099" s="44"/>
      <c r="V3099" s="44"/>
      <c r="W3099" s="44"/>
      <c r="X3099" s="44"/>
      <c r="Y3099" s="44"/>
    </row>
    <row r="3100" spans="14:25" ht="15" customHeight="1" x14ac:dyDescent="0.25">
      <c r="N3100" s="44"/>
      <c r="O3100" s="44"/>
      <c r="P3100" s="44"/>
      <c r="Q3100" s="44"/>
      <c r="R3100" s="44"/>
      <c r="S3100" s="44"/>
      <c r="T3100" s="44"/>
      <c r="U3100" s="44"/>
      <c r="V3100" s="44"/>
      <c r="W3100" s="44"/>
      <c r="X3100" s="44"/>
      <c r="Y3100" s="44"/>
    </row>
    <row r="3101" spans="14:25" ht="15" customHeight="1" x14ac:dyDescent="0.25">
      <c r="N3101" s="44"/>
      <c r="O3101" s="44"/>
      <c r="P3101" s="44"/>
      <c r="Q3101" s="44"/>
      <c r="R3101" s="44"/>
      <c r="S3101" s="44"/>
      <c r="T3101" s="44"/>
      <c r="U3101" s="44"/>
      <c r="V3101" s="44"/>
      <c r="W3101" s="44"/>
      <c r="X3101" s="44"/>
      <c r="Y3101" s="44"/>
    </row>
    <row r="3102" spans="14:25" ht="15" customHeight="1" x14ac:dyDescent="0.25">
      <c r="N3102" s="44"/>
      <c r="O3102" s="44"/>
      <c r="P3102" s="44"/>
      <c r="Q3102" s="44"/>
      <c r="R3102" s="44"/>
      <c r="S3102" s="44"/>
      <c r="T3102" s="44"/>
      <c r="U3102" s="44"/>
      <c r="V3102" s="44"/>
      <c r="W3102" s="44"/>
      <c r="X3102" s="44"/>
      <c r="Y3102" s="44"/>
    </row>
    <row r="3103" spans="14:25" ht="15" customHeight="1" x14ac:dyDescent="0.25">
      <c r="N3103" s="44"/>
      <c r="O3103" s="44"/>
      <c r="P3103" s="44"/>
      <c r="Q3103" s="44"/>
      <c r="R3103" s="44"/>
      <c r="S3103" s="44"/>
      <c r="T3103" s="44"/>
      <c r="U3103" s="44"/>
      <c r="V3103" s="44"/>
      <c r="W3103" s="44"/>
      <c r="X3103" s="44"/>
      <c r="Y3103" s="44"/>
    </row>
    <row r="3104" spans="14:25" ht="15" customHeight="1" x14ac:dyDescent="0.25">
      <c r="N3104" s="44"/>
      <c r="O3104" s="44"/>
      <c r="P3104" s="44"/>
      <c r="Q3104" s="44"/>
      <c r="R3104" s="44"/>
      <c r="S3104" s="44"/>
      <c r="T3104" s="44"/>
      <c r="U3104" s="44"/>
      <c r="V3104" s="44"/>
      <c r="W3104" s="44"/>
      <c r="X3104" s="44"/>
      <c r="Y3104" s="44"/>
    </row>
    <row r="3105" spans="14:25" ht="15" customHeight="1" x14ac:dyDescent="0.25">
      <c r="N3105" s="44"/>
      <c r="O3105" s="44"/>
      <c r="P3105" s="44"/>
      <c r="Q3105" s="44"/>
      <c r="R3105" s="44"/>
      <c r="S3105" s="44"/>
      <c r="T3105" s="44"/>
      <c r="U3105" s="44"/>
      <c r="V3105" s="44"/>
      <c r="W3105" s="44"/>
      <c r="X3105" s="44"/>
      <c r="Y3105" s="44"/>
    </row>
    <row r="3106" spans="14:25" ht="15" customHeight="1" x14ac:dyDescent="0.25">
      <c r="N3106" s="44"/>
      <c r="O3106" s="44"/>
      <c r="P3106" s="44"/>
      <c r="Q3106" s="44"/>
      <c r="R3106" s="44"/>
      <c r="S3106" s="44"/>
      <c r="T3106" s="44"/>
      <c r="U3106" s="44"/>
      <c r="V3106" s="44"/>
      <c r="W3106" s="44"/>
      <c r="X3106" s="44"/>
      <c r="Y3106" s="44"/>
    </row>
    <row r="3107" spans="14:25" ht="15" customHeight="1" x14ac:dyDescent="0.25">
      <c r="N3107" s="44"/>
      <c r="O3107" s="44"/>
      <c r="P3107" s="44"/>
      <c r="Q3107" s="44"/>
      <c r="R3107" s="44"/>
      <c r="S3107" s="44"/>
      <c r="T3107" s="44"/>
      <c r="U3107" s="44"/>
      <c r="V3107" s="44"/>
      <c r="W3107" s="44"/>
      <c r="X3107" s="44"/>
      <c r="Y3107" s="44"/>
    </row>
    <row r="3108" spans="14:25" ht="15" customHeight="1" x14ac:dyDescent="0.25">
      <c r="N3108" s="44"/>
      <c r="O3108" s="44"/>
      <c r="P3108" s="44"/>
      <c r="Q3108" s="44"/>
      <c r="R3108" s="44"/>
      <c r="S3108" s="44"/>
      <c r="T3108" s="44"/>
      <c r="U3108" s="44"/>
      <c r="V3108" s="44"/>
      <c r="W3108" s="44"/>
      <c r="X3108" s="44"/>
      <c r="Y3108" s="44"/>
    </row>
    <row r="3109" spans="14:25" ht="15" customHeight="1" x14ac:dyDescent="0.25">
      <c r="N3109" s="44"/>
      <c r="O3109" s="44"/>
      <c r="P3109" s="44"/>
      <c r="Q3109" s="44"/>
      <c r="R3109" s="44"/>
      <c r="S3109" s="44"/>
      <c r="T3109" s="44"/>
      <c r="U3109" s="44"/>
      <c r="V3109" s="44"/>
      <c r="W3109" s="44"/>
      <c r="X3109" s="44"/>
      <c r="Y3109" s="44"/>
    </row>
    <row r="3110" spans="14:25" ht="15" customHeight="1" x14ac:dyDescent="0.25">
      <c r="N3110" s="44"/>
      <c r="O3110" s="44"/>
      <c r="P3110" s="44"/>
      <c r="Q3110" s="44"/>
      <c r="R3110" s="44"/>
      <c r="S3110" s="44"/>
      <c r="T3110" s="44"/>
      <c r="U3110" s="44"/>
      <c r="V3110" s="44"/>
      <c r="W3110" s="44"/>
      <c r="X3110" s="44"/>
      <c r="Y3110" s="44"/>
    </row>
    <row r="3111" spans="14:25" ht="15" customHeight="1" x14ac:dyDescent="0.25">
      <c r="N3111" s="44"/>
      <c r="O3111" s="44"/>
      <c r="P3111" s="44"/>
      <c r="Q3111" s="44"/>
      <c r="R3111" s="44"/>
      <c r="S3111" s="44"/>
      <c r="T3111" s="44"/>
      <c r="U3111" s="44"/>
      <c r="V3111" s="44"/>
      <c r="W3111" s="44"/>
      <c r="X3111" s="44"/>
      <c r="Y3111" s="44"/>
    </row>
    <row r="3112" spans="14:25" ht="15" customHeight="1" x14ac:dyDescent="0.25">
      <c r="N3112" s="44"/>
      <c r="O3112" s="44"/>
      <c r="P3112" s="44"/>
      <c r="Q3112" s="44"/>
      <c r="R3112" s="44"/>
      <c r="S3112" s="44"/>
      <c r="T3112" s="44"/>
      <c r="U3112" s="44"/>
      <c r="V3112" s="44"/>
      <c r="W3112" s="44"/>
      <c r="X3112" s="44"/>
      <c r="Y3112" s="44"/>
    </row>
    <row r="3113" spans="14:25" ht="15" customHeight="1" x14ac:dyDescent="0.25">
      <c r="N3113" s="44"/>
      <c r="O3113" s="44"/>
      <c r="P3113" s="44"/>
      <c r="Q3113" s="44"/>
      <c r="R3113" s="44"/>
      <c r="S3113" s="44"/>
      <c r="T3113" s="44"/>
      <c r="U3113" s="44"/>
      <c r="V3113" s="44"/>
      <c r="W3113" s="44"/>
      <c r="X3113" s="44"/>
      <c r="Y3113" s="44"/>
    </row>
    <row r="3114" spans="14:25" ht="15" customHeight="1" x14ac:dyDescent="0.25">
      <c r="N3114" s="44"/>
      <c r="O3114" s="44"/>
      <c r="P3114" s="44"/>
      <c r="Q3114" s="44"/>
      <c r="R3114" s="44"/>
      <c r="S3114" s="44"/>
      <c r="T3114" s="44"/>
      <c r="U3114" s="44"/>
      <c r="V3114" s="44"/>
      <c r="W3114" s="44"/>
      <c r="X3114" s="44"/>
      <c r="Y3114" s="44"/>
    </row>
    <row r="3115" spans="14:25" ht="15" customHeight="1" x14ac:dyDescent="0.25">
      <c r="N3115" s="44"/>
      <c r="O3115" s="44"/>
      <c r="P3115" s="44"/>
      <c r="Q3115" s="44"/>
      <c r="R3115" s="44"/>
      <c r="S3115" s="44"/>
      <c r="T3115" s="44"/>
      <c r="U3115" s="44"/>
      <c r="V3115" s="44"/>
      <c r="W3115" s="44"/>
      <c r="X3115" s="44"/>
      <c r="Y3115" s="44"/>
    </row>
    <row r="3116" spans="14:25" ht="15" customHeight="1" x14ac:dyDescent="0.25">
      <c r="N3116" s="44"/>
      <c r="O3116" s="44"/>
      <c r="P3116" s="44"/>
      <c r="Q3116" s="44"/>
      <c r="R3116" s="44"/>
      <c r="S3116" s="44"/>
      <c r="T3116" s="44"/>
      <c r="U3116" s="44"/>
      <c r="V3116" s="44"/>
      <c r="W3116" s="44"/>
      <c r="X3116" s="44"/>
      <c r="Y3116" s="44"/>
    </row>
    <row r="3117" spans="14:25" ht="15" customHeight="1" x14ac:dyDescent="0.25">
      <c r="N3117" s="44"/>
      <c r="O3117" s="44"/>
      <c r="P3117" s="44"/>
      <c r="Q3117" s="44"/>
      <c r="R3117" s="44"/>
      <c r="S3117" s="44"/>
      <c r="T3117" s="44"/>
      <c r="U3117" s="44"/>
      <c r="V3117" s="44"/>
      <c r="W3117" s="44"/>
      <c r="X3117" s="44"/>
      <c r="Y3117" s="44"/>
    </row>
    <row r="3118" spans="14:25" ht="15" customHeight="1" x14ac:dyDescent="0.25">
      <c r="N3118" s="44"/>
      <c r="O3118" s="44"/>
      <c r="P3118" s="44"/>
      <c r="Q3118" s="44"/>
      <c r="R3118" s="44"/>
      <c r="S3118" s="44"/>
      <c r="T3118" s="44"/>
      <c r="U3118" s="44"/>
      <c r="V3118" s="44"/>
      <c r="W3118" s="44"/>
      <c r="X3118" s="44"/>
      <c r="Y3118" s="44"/>
    </row>
    <row r="3119" spans="14:25" ht="15" customHeight="1" x14ac:dyDescent="0.25">
      <c r="N3119" s="44"/>
      <c r="O3119" s="44"/>
      <c r="P3119" s="44"/>
      <c r="Q3119" s="44"/>
      <c r="R3119" s="44"/>
      <c r="S3119" s="44"/>
      <c r="T3119" s="44"/>
      <c r="U3119" s="44"/>
      <c r="V3119" s="44"/>
      <c r="W3119" s="44"/>
      <c r="X3119" s="44"/>
      <c r="Y3119" s="44"/>
    </row>
    <row r="3120" spans="14:25" ht="15" customHeight="1" x14ac:dyDescent="0.25">
      <c r="N3120" s="44"/>
      <c r="O3120" s="44"/>
      <c r="P3120" s="44"/>
      <c r="Q3120" s="44"/>
      <c r="R3120" s="44"/>
      <c r="S3120" s="44"/>
      <c r="T3120" s="44"/>
      <c r="U3120" s="44"/>
      <c r="V3120" s="44"/>
      <c r="W3120" s="44"/>
      <c r="X3120" s="44"/>
      <c r="Y3120" s="44"/>
    </row>
    <row r="3121" spans="14:25" ht="15" customHeight="1" x14ac:dyDescent="0.25">
      <c r="N3121" s="44"/>
      <c r="O3121" s="44"/>
      <c r="P3121" s="44"/>
      <c r="Q3121" s="44"/>
      <c r="R3121" s="44"/>
      <c r="S3121" s="44"/>
      <c r="T3121" s="44"/>
      <c r="U3121" s="44"/>
      <c r="V3121" s="44"/>
      <c r="W3121" s="44"/>
      <c r="X3121" s="44"/>
      <c r="Y3121" s="44"/>
    </row>
    <row r="3122" spans="14:25" ht="15" customHeight="1" x14ac:dyDescent="0.25">
      <c r="N3122" s="44"/>
      <c r="O3122" s="44"/>
      <c r="P3122" s="44"/>
      <c r="Q3122" s="44"/>
      <c r="R3122" s="44"/>
      <c r="S3122" s="44"/>
      <c r="T3122" s="44"/>
      <c r="U3122" s="44"/>
      <c r="V3122" s="44"/>
      <c r="W3122" s="44"/>
      <c r="X3122" s="44"/>
      <c r="Y3122" s="44"/>
    </row>
    <row r="3123" spans="14:25" ht="15" customHeight="1" x14ac:dyDescent="0.25">
      <c r="N3123" s="44"/>
      <c r="O3123" s="44"/>
      <c r="P3123" s="44"/>
      <c r="Q3123" s="44"/>
      <c r="R3123" s="44"/>
      <c r="S3123" s="44"/>
      <c r="T3123" s="44"/>
      <c r="U3123" s="44"/>
      <c r="V3123" s="44"/>
      <c r="W3123" s="44"/>
      <c r="X3123" s="44"/>
      <c r="Y3123" s="44"/>
    </row>
    <row r="3124" spans="14:25" ht="15" customHeight="1" x14ac:dyDescent="0.25">
      <c r="N3124" s="44"/>
      <c r="O3124" s="44"/>
      <c r="P3124" s="44"/>
      <c r="Q3124" s="44"/>
      <c r="R3124" s="44"/>
      <c r="S3124" s="44"/>
      <c r="T3124" s="44"/>
      <c r="U3124" s="44"/>
      <c r="V3124" s="44"/>
      <c r="W3124" s="44"/>
      <c r="X3124" s="44"/>
      <c r="Y3124" s="44"/>
    </row>
    <row r="3125" spans="14:25" ht="15" customHeight="1" x14ac:dyDescent="0.25">
      <c r="N3125" s="44"/>
      <c r="O3125" s="44"/>
      <c r="P3125" s="44"/>
      <c r="Q3125" s="44"/>
      <c r="R3125" s="44"/>
      <c r="S3125" s="44"/>
      <c r="T3125" s="44"/>
      <c r="U3125" s="44"/>
      <c r="V3125" s="44"/>
      <c r="W3125" s="44"/>
      <c r="X3125" s="44"/>
      <c r="Y3125" s="44"/>
    </row>
    <row r="3126" spans="14:25" ht="15" customHeight="1" x14ac:dyDescent="0.25">
      <c r="N3126" s="44"/>
      <c r="O3126" s="44"/>
      <c r="P3126" s="44"/>
      <c r="Q3126" s="44"/>
      <c r="R3126" s="44"/>
      <c r="S3126" s="44"/>
      <c r="T3126" s="44"/>
      <c r="U3126" s="44"/>
      <c r="V3126" s="44"/>
      <c r="W3126" s="44"/>
      <c r="X3126" s="44"/>
      <c r="Y3126" s="44"/>
    </row>
    <row r="3127" spans="14:25" ht="15" customHeight="1" x14ac:dyDescent="0.25">
      <c r="N3127" s="44"/>
      <c r="O3127" s="44"/>
      <c r="P3127" s="44"/>
      <c r="Q3127" s="44"/>
      <c r="R3127" s="44"/>
      <c r="S3127" s="44"/>
      <c r="T3127" s="44"/>
      <c r="U3127" s="44"/>
      <c r="V3127" s="44"/>
      <c r="W3127" s="44"/>
      <c r="X3127" s="44"/>
      <c r="Y3127" s="44"/>
    </row>
    <row r="3128" spans="14:25" ht="15" customHeight="1" x14ac:dyDescent="0.25">
      <c r="N3128" s="44"/>
      <c r="O3128" s="44"/>
      <c r="P3128" s="44"/>
      <c r="Q3128" s="44"/>
      <c r="R3128" s="44"/>
      <c r="S3128" s="44"/>
      <c r="T3128" s="44"/>
      <c r="U3128" s="44"/>
      <c r="V3128" s="44"/>
      <c r="W3128" s="44"/>
      <c r="X3128" s="44"/>
      <c r="Y3128" s="44"/>
    </row>
    <row r="3129" spans="14:25" ht="15" customHeight="1" x14ac:dyDescent="0.25">
      <c r="N3129" s="44"/>
      <c r="O3129" s="44"/>
      <c r="P3129" s="44"/>
      <c r="Q3129" s="44"/>
      <c r="R3129" s="44"/>
      <c r="S3129" s="44"/>
      <c r="T3129" s="44"/>
      <c r="U3129" s="44"/>
      <c r="V3129" s="44"/>
      <c r="W3129" s="44"/>
      <c r="X3129" s="44"/>
      <c r="Y3129" s="44"/>
    </row>
    <row r="3130" spans="14:25" ht="15" customHeight="1" x14ac:dyDescent="0.25">
      <c r="N3130" s="44"/>
      <c r="O3130" s="44"/>
      <c r="P3130" s="44"/>
      <c r="Q3130" s="44"/>
      <c r="R3130" s="44"/>
      <c r="S3130" s="44"/>
      <c r="T3130" s="44"/>
      <c r="U3130" s="44"/>
      <c r="V3130" s="44"/>
      <c r="W3130" s="44"/>
      <c r="X3130" s="44"/>
      <c r="Y3130" s="44"/>
    </row>
    <row r="3131" spans="14:25" ht="15" customHeight="1" x14ac:dyDescent="0.25">
      <c r="N3131" s="44"/>
      <c r="O3131" s="44"/>
      <c r="P3131" s="44"/>
      <c r="Q3131" s="44"/>
      <c r="R3131" s="44"/>
      <c r="S3131" s="44"/>
      <c r="T3131" s="44"/>
      <c r="U3131" s="44"/>
      <c r="V3131" s="44"/>
      <c r="W3131" s="44"/>
      <c r="X3131" s="44"/>
      <c r="Y3131" s="44"/>
    </row>
    <row r="3132" spans="14:25" ht="15" customHeight="1" x14ac:dyDescent="0.25">
      <c r="N3132" s="44"/>
      <c r="O3132" s="44"/>
      <c r="P3132" s="44"/>
      <c r="Q3132" s="44"/>
      <c r="R3132" s="44"/>
      <c r="S3132" s="44"/>
      <c r="T3132" s="44"/>
      <c r="U3132" s="44"/>
      <c r="V3132" s="44"/>
      <c r="W3132" s="44"/>
      <c r="X3132" s="44"/>
      <c r="Y3132" s="44"/>
    </row>
    <row r="3133" spans="14:25" ht="15" customHeight="1" x14ac:dyDescent="0.25">
      <c r="N3133" s="44"/>
      <c r="O3133" s="44"/>
      <c r="P3133" s="44"/>
      <c r="Q3133" s="44"/>
      <c r="R3133" s="44"/>
      <c r="S3133" s="44"/>
      <c r="T3133" s="44"/>
      <c r="U3133" s="44"/>
      <c r="V3133" s="44"/>
      <c r="W3133" s="44"/>
      <c r="X3133" s="44"/>
      <c r="Y3133" s="44"/>
    </row>
    <row r="3134" spans="14:25" ht="15" customHeight="1" x14ac:dyDescent="0.25">
      <c r="N3134" s="44"/>
      <c r="O3134" s="44"/>
      <c r="P3134" s="44"/>
      <c r="Q3134" s="44"/>
      <c r="R3134" s="44"/>
      <c r="S3134" s="44"/>
      <c r="T3134" s="44"/>
      <c r="U3134" s="44"/>
      <c r="V3134" s="44"/>
      <c r="W3134" s="44"/>
      <c r="X3134" s="44"/>
      <c r="Y3134" s="44"/>
    </row>
    <row r="3135" spans="14:25" ht="15" customHeight="1" x14ac:dyDescent="0.25">
      <c r="N3135" s="44"/>
      <c r="O3135" s="44"/>
      <c r="P3135" s="44"/>
      <c r="Q3135" s="44"/>
      <c r="R3135" s="44"/>
      <c r="S3135" s="44"/>
      <c r="T3135" s="44"/>
      <c r="U3135" s="44"/>
      <c r="V3135" s="44"/>
      <c r="W3135" s="44"/>
      <c r="X3135" s="44"/>
      <c r="Y3135" s="44"/>
    </row>
    <row r="3136" spans="14:25" ht="15" customHeight="1" x14ac:dyDescent="0.25">
      <c r="N3136" s="44"/>
      <c r="O3136" s="44"/>
      <c r="P3136" s="44"/>
      <c r="Q3136" s="44"/>
      <c r="R3136" s="44"/>
      <c r="S3136" s="44"/>
      <c r="T3136" s="44"/>
      <c r="U3136" s="44"/>
      <c r="V3136" s="44"/>
      <c r="W3136" s="44"/>
      <c r="X3136" s="44"/>
      <c r="Y3136" s="44"/>
    </row>
    <row r="3137" spans="14:25" ht="15" customHeight="1" x14ac:dyDescent="0.25">
      <c r="N3137" s="44"/>
      <c r="O3137" s="44"/>
      <c r="P3137" s="44"/>
      <c r="Q3137" s="44"/>
      <c r="R3137" s="44"/>
      <c r="S3137" s="44"/>
      <c r="T3137" s="44"/>
      <c r="U3137" s="44"/>
      <c r="V3137" s="44"/>
      <c r="W3137" s="44"/>
      <c r="X3137" s="44"/>
      <c r="Y3137" s="44"/>
    </row>
    <row r="3138" spans="14:25" ht="15" customHeight="1" x14ac:dyDescent="0.25">
      <c r="N3138" s="44"/>
      <c r="O3138" s="44"/>
      <c r="P3138" s="44"/>
      <c r="Q3138" s="44"/>
      <c r="R3138" s="44"/>
      <c r="S3138" s="44"/>
      <c r="T3138" s="44"/>
      <c r="U3138" s="44"/>
      <c r="V3138" s="44"/>
      <c r="W3138" s="44"/>
      <c r="X3138" s="44"/>
      <c r="Y3138" s="44"/>
    </row>
    <row r="3139" spans="14:25" ht="15" customHeight="1" x14ac:dyDescent="0.25">
      <c r="N3139" s="44"/>
      <c r="O3139" s="44"/>
      <c r="P3139" s="44"/>
      <c r="Q3139" s="44"/>
      <c r="R3139" s="44"/>
      <c r="S3139" s="44"/>
      <c r="T3139" s="44"/>
      <c r="U3139" s="44"/>
      <c r="V3139" s="44"/>
      <c r="W3139" s="44"/>
      <c r="X3139" s="44"/>
      <c r="Y3139" s="44"/>
    </row>
    <row r="3140" spans="14:25" ht="15" customHeight="1" x14ac:dyDescent="0.25">
      <c r="N3140" s="44"/>
      <c r="O3140" s="44"/>
      <c r="P3140" s="44"/>
      <c r="Q3140" s="44"/>
      <c r="R3140" s="44"/>
      <c r="S3140" s="44"/>
      <c r="T3140" s="44"/>
      <c r="U3140" s="44"/>
      <c r="V3140" s="44"/>
      <c r="W3140" s="44"/>
      <c r="X3140" s="44"/>
      <c r="Y3140" s="44"/>
    </row>
    <row r="3141" spans="14:25" ht="15" customHeight="1" x14ac:dyDescent="0.25">
      <c r="N3141" s="44"/>
      <c r="O3141" s="44"/>
      <c r="P3141" s="44"/>
      <c r="Q3141" s="44"/>
      <c r="R3141" s="44"/>
      <c r="S3141" s="44"/>
      <c r="T3141" s="44"/>
      <c r="U3141" s="44"/>
      <c r="V3141" s="44"/>
      <c r="W3141" s="44"/>
      <c r="X3141" s="44"/>
      <c r="Y3141" s="44"/>
    </row>
    <row r="3142" spans="14:25" ht="15" customHeight="1" x14ac:dyDescent="0.25">
      <c r="N3142" s="44"/>
      <c r="O3142" s="44"/>
      <c r="P3142" s="44"/>
      <c r="Q3142" s="44"/>
      <c r="R3142" s="44"/>
      <c r="S3142" s="44"/>
      <c r="T3142" s="44"/>
      <c r="U3142" s="44"/>
      <c r="V3142" s="44"/>
      <c r="W3142" s="44"/>
      <c r="X3142" s="44"/>
      <c r="Y3142" s="44"/>
    </row>
    <row r="3143" spans="14:25" ht="15" customHeight="1" x14ac:dyDescent="0.25">
      <c r="N3143" s="44"/>
      <c r="O3143" s="44"/>
      <c r="P3143" s="44"/>
      <c r="Q3143" s="44"/>
      <c r="R3143" s="44"/>
      <c r="S3143" s="44"/>
      <c r="T3143" s="44"/>
      <c r="U3143" s="44"/>
      <c r="V3143" s="44"/>
      <c r="W3143" s="44"/>
      <c r="X3143" s="44"/>
      <c r="Y3143" s="44"/>
    </row>
    <row r="3144" spans="14:25" ht="15" customHeight="1" x14ac:dyDescent="0.25">
      <c r="N3144" s="44"/>
      <c r="O3144" s="44"/>
      <c r="P3144" s="44"/>
      <c r="Q3144" s="44"/>
      <c r="R3144" s="44"/>
      <c r="S3144" s="44"/>
      <c r="T3144" s="44"/>
      <c r="U3144" s="44"/>
      <c r="V3144" s="44"/>
      <c r="W3144" s="44"/>
      <c r="X3144" s="44"/>
      <c r="Y3144" s="44"/>
    </row>
    <row r="3145" spans="14:25" ht="15" customHeight="1" x14ac:dyDescent="0.25">
      <c r="N3145" s="44"/>
      <c r="O3145" s="44"/>
      <c r="P3145" s="44"/>
      <c r="Q3145" s="44"/>
      <c r="R3145" s="44"/>
      <c r="S3145" s="44"/>
      <c r="T3145" s="44"/>
      <c r="U3145" s="44"/>
      <c r="V3145" s="44"/>
      <c r="W3145" s="44"/>
      <c r="X3145" s="44"/>
      <c r="Y3145" s="44"/>
    </row>
    <row r="3146" spans="14:25" ht="15" customHeight="1" x14ac:dyDescent="0.25">
      <c r="N3146" s="44"/>
      <c r="O3146" s="44"/>
      <c r="P3146" s="44"/>
      <c r="Q3146" s="44"/>
      <c r="R3146" s="44"/>
      <c r="S3146" s="44"/>
      <c r="T3146" s="44"/>
      <c r="U3146" s="44"/>
      <c r="V3146" s="44"/>
      <c r="W3146" s="44"/>
      <c r="X3146" s="44"/>
      <c r="Y3146" s="44"/>
    </row>
    <row r="3147" spans="14:25" ht="15" customHeight="1" x14ac:dyDescent="0.25">
      <c r="N3147" s="44"/>
      <c r="O3147" s="44"/>
      <c r="P3147" s="44"/>
      <c r="Q3147" s="44"/>
      <c r="R3147" s="44"/>
      <c r="S3147" s="44"/>
      <c r="T3147" s="44"/>
      <c r="U3147" s="44"/>
      <c r="V3147" s="44"/>
      <c r="W3147" s="44"/>
      <c r="X3147" s="44"/>
      <c r="Y3147" s="44"/>
    </row>
    <row r="3148" spans="14:25" ht="15" customHeight="1" x14ac:dyDescent="0.25">
      <c r="N3148" s="44"/>
      <c r="O3148" s="44"/>
      <c r="P3148" s="44"/>
      <c r="Q3148" s="44"/>
      <c r="R3148" s="44"/>
      <c r="S3148" s="44"/>
      <c r="T3148" s="44"/>
      <c r="U3148" s="44"/>
      <c r="V3148" s="44"/>
      <c r="W3148" s="44"/>
      <c r="X3148" s="44"/>
      <c r="Y3148" s="44"/>
    </row>
    <row r="3149" spans="14:25" ht="15" customHeight="1" x14ac:dyDescent="0.25">
      <c r="N3149" s="44"/>
      <c r="O3149" s="44"/>
      <c r="P3149" s="44"/>
      <c r="Q3149" s="44"/>
      <c r="R3149" s="44"/>
      <c r="S3149" s="44"/>
      <c r="T3149" s="44"/>
      <c r="U3149" s="44"/>
      <c r="V3149" s="44"/>
      <c r="W3149" s="44"/>
      <c r="X3149" s="44"/>
      <c r="Y3149" s="44"/>
    </row>
    <row r="3150" spans="14:25" ht="15" customHeight="1" x14ac:dyDescent="0.25">
      <c r="N3150" s="44"/>
      <c r="O3150" s="44"/>
      <c r="P3150" s="44"/>
      <c r="Q3150" s="44"/>
      <c r="R3150" s="44"/>
      <c r="S3150" s="44"/>
      <c r="T3150" s="44"/>
      <c r="U3150" s="44"/>
      <c r="V3150" s="44"/>
      <c r="W3150" s="44"/>
      <c r="X3150" s="44"/>
      <c r="Y3150" s="44"/>
    </row>
    <row r="3151" spans="14:25" ht="15" customHeight="1" x14ac:dyDescent="0.25">
      <c r="N3151" s="44"/>
      <c r="O3151" s="44"/>
      <c r="P3151" s="44"/>
      <c r="Q3151" s="44"/>
      <c r="R3151" s="44"/>
      <c r="S3151" s="44"/>
      <c r="T3151" s="44"/>
      <c r="U3151" s="44"/>
      <c r="V3151" s="44"/>
      <c r="W3151" s="44"/>
      <c r="X3151" s="44"/>
      <c r="Y3151" s="44"/>
    </row>
    <row r="3152" spans="14:25" ht="15" customHeight="1" x14ac:dyDescent="0.25">
      <c r="N3152" s="44"/>
      <c r="O3152" s="44"/>
      <c r="P3152" s="44"/>
      <c r="Q3152" s="44"/>
      <c r="R3152" s="44"/>
      <c r="S3152" s="44"/>
      <c r="T3152" s="44"/>
      <c r="U3152" s="44"/>
      <c r="V3152" s="44"/>
      <c r="W3152" s="44"/>
      <c r="X3152" s="44"/>
      <c r="Y3152" s="44"/>
    </row>
    <row r="3153" spans="14:25" ht="15" customHeight="1" x14ac:dyDescent="0.25">
      <c r="N3153" s="44"/>
      <c r="O3153" s="44"/>
      <c r="P3153" s="44"/>
      <c r="Q3153" s="44"/>
      <c r="R3153" s="44"/>
      <c r="S3153" s="44"/>
      <c r="T3153" s="44"/>
      <c r="U3153" s="44"/>
      <c r="V3153" s="44"/>
      <c r="W3153" s="44"/>
      <c r="X3153" s="44"/>
      <c r="Y3153" s="44"/>
    </row>
    <row r="3154" spans="14:25" ht="15" customHeight="1" x14ac:dyDescent="0.25">
      <c r="N3154" s="44"/>
      <c r="O3154" s="44"/>
      <c r="P3154" s="44"/>
      <c r="Q3154" s="44"/>
      <c r="R3154" s="44"/>
      <c r="S3154" s="44"/>
      <c r="T3154" s="44"/>
      <c r="U3154" s="44"/>
      <c r="V3154" s="44"/>
      <c r="W3154" s="44"/>
      <c r="X3154" s="44"/>
      <c r="Y3154" s="44"/>
    </row>
    <row r="3155" spans="14:25" ht="15" customHeight="1" x14ac:dyDescent="0.25">
      <c r="N3155" s="44"/>
      <c r="O3155" s="44"/>
      <c r="P3155" s="44"/>
      <c r="Q3155" s="44"/>
      <c r="R3155" s="44"/>
      <c r="S3155" s="44"/>
      <c r="T3155" s="44"/>
      <c r="U3155" s="44"/>
      <c r="V3155" s="44"/>
      <c r="W3155" s="44"/>
      <c r="X3155" s="44"/>
      <c r="Y3155" s="44"/>
    </row>
    <row r="3156" spans="14:25" ht="15" customHeight="1" x14ac:dyDescent="0.25">
      <c r="N3156" s="44"/>
      <c r="O3156" s="44"/>
      <c r="P3156" s="44"/>
      <c r="Q3156" s="44"/>
      <c r="R3156" s="44"/>
      <c r="S3156" s="44"/>
      <c r="T3156" s="44"/>
      <c r="U3156" s="44"/>
      <c r="V3156" s="44"/>
      <c r="W3156" s="44"/>
      <c r="X3156" s="44"/>
      <c r="Y3156" s="44"/>
    </row>
    <row r="3157" spans="14:25" ht="15" customHeight="1" x14ac:dyDescent="0.25">
      <c r="N3157" s="44"/>
      <c r="O3157" s="44"/>
      <c r="P3157" s="44"/>
      <c r="Q3157" s="44"/>
      <c r="R3157" s="44"/>
      <c r="S3157" s="44"/>
      <c r="T3157" s="44"/>
      <c r="U3157" s="44"/>
      <c r="V3157" s="44"/>
      <c r="W3157" s="44"/>
      <c r="X3157" s="44"/>
      <c r="Y3157" s="44"/>
    </row>
    <row r="3158" spans="14:25" ht="15" customHeight="1" x14ac:dyDescent="0.25">
      <c r="N3158" s="44"/>
      <c r="O3158" s="44"/>
      <c r="P3158" s="44"/>
      <c r="Q3158" s="44"/>
      <c r="R3158" s="44"/>
      <c r="S3158" s="44"/>
      <c r="T3158" s="44"/>
      <c r="U3158" s="44"/>
      <c r="V3158" s="44"/>
      <c r="W3158" s="44"/>
      <c r="X3158" s="44"/>
      <c r="Y3158" s="44"/>
    </row>
    <row r="3159" spans="14:25" ht="15" customHeight="1" x14ac:dyDescent="0.25">
      <c r="N3159" s="44"/>
      <c r="O3159" s="44"/>
      <c r="P3159" s="44"/>
      <c r="Q3159" s="44"/>
      <c r="R3159" s="44"/>
      <c r="S3159" s="44"/>
      <c r="T3159" s="44"/>
      <c r="U3159" s="44"/>
      <c r="V3159" s="44"/>
      <c r="W3159" s="44"/>
      <c r="X3159" s="44"/>
      <c r="Y3159" s="44"/>
    </row>
    <row r="3160" spans="14:25" ht="15" customHeight="1" x14ac:dyDescent="0.25">
      <c r="N3160" s="44"/>
      <c r="O3160" s="44"/>
      <c r="P3160" s="44"/>
      <c r="Q3160" s="44"/>
      <c r="R3160" s="44"/>
      <c r="S3160" s="44"/>
      <c r="T3160" s="44"/>
      <c r="U3160" s="44"/>
      <c r="V3160" s="44"/>
      <c r="W3160" s="44"/>
      <c r="X3160" s="44"/>
      <c r="Y3160" s="44"/>
    </row>
    <row r="3161" spans="14:25" ht="15" customHeight="1" x14ac:dyDescent="0.25">
      <c r="N3161" s="44"/>
      <c r="O3161" s="44"/>
      <c r="P3161" s="44"/>
      <c r="Q3161" s="44"/>
      <c r="R3161" s="44"/>
      <c r="S3161" s="44"/>
      <c r="T3161" s="44"/>
      <c r="U3161" s="44"/>
      <c r="V3161" s="44"/>
      <c r="W3161" s="44"/>
      <c r="X3161" s="44"/>
      <c r="Y3161" s="44"/>
    </row>
    <row r="3162" spans="14:25" ht="15" customHeight="1" x14ac:dyDescent="0.25">
      <c r="N3162" s="44"/>
      <c r="O3162" s="44"/>
      <c r="P3162" s="44"/>
      <c r="Q3162" s="44"/>
      <c r="R3162" s="44"/>
      <c r="S3162" s="44"/>
      <c r="T3162" s="44"/>
      <c r="U3162" s="44"/>
      <c r="V3162" s="44"/>
      <c r="W3162" s="44"/>
      <c r="X3162" s="44"/>
      <c r="Y3162" s="44"/>
    </row>
    <row r="3163" spans="14:25" ht="15" customHeight="1" x14ac:dyDescent="0.25">
      <c r="N3163" s="44"/>
      <c r="O3163" s="44"/>
      <c r="P3163" s="44"/>
      <c r="Q3163" s="44"/>
      <c r="R3163" s="44"/>
      <c r="S3163" s="44"/>
      <c r="T3163" s="44"/>
      <c r="U3163" s="44"/>
      <c r="V3163" s="44"/>
      <c r="W3163" s="44"/>
      <c r="X3163" s="44"/>
      <c r="Y3163" s="44"/>
    </row>
    <row r="3164" spans="14:25" ht="15" customHeight="1" x14ac:dyDescent="0.25">
      <c r="N3164" s="44"/>
      <c r="O3164" s="44"/>
      <c r="P3164" s="44"/>
      <c r="Q3164" s="44"/>
      <c r="R3164" s="44"/>
      <c r="S3164" s="44"/>
      <c r="T3164" s="44"/>
      <c r="U3164" s="44"/>
      <c r="V3164" s="44"/>
      <c r="W3164" s="44"/>
      <c r="X3164" s="44"/>
      <c r="Y3164" s="44"/>
    </row>
    <row r="3165" spans="14:25" ht="15" customHeight="1" x14ac:dyDescent="0.25">
      <c r="N3165" s="44"/>
      <c r="O3165" s="44"/>
      <c r="P3165" s="44"/>
      <c r="Q3165" s="44"/>
      <c r="R3165" s="44"/>
      <c r="S3165" s="44"/>
      <c r="T3165" s="44"/>
      <c r="U3165" s="44"/>
      <c r="V3165" s="44"/>
      <c r="W3165" s="44"/>
      <c r="X3165" s="44"/>
      <c r="Y3165" s="44"/>
    </row>
    <row r="3166" spans="14:25" ht="15" customHeight="1" x14ac:dyDescent="0.25">
      <c r="N3166" s="44"/>
      <c r="O3166" s="44"/>
      <c r="P3166" s="44"/>
      <c r="Q3166" s="44"/>
      <c r="R3166" s="44"/>
      <c r="S3166" s="44"/>
      <c r="T3166" s="44"/>
      <c r="U3166" s="44"/>
      <c r="V3166" s="44"/>
      <c r="W3166" s="44"/>
      <c r="X3166" s="44"/>
      <c r="Y3166" s="44"/>
    </row>
    <row r="3167" spans="14:25" ht="15" customHeight="1" x14ac:dyDescent="0.25">
      <c r="N3167" s="44"/>
      <c r="O3167" s="44"/>
      <c r="P3167" s="44"/>
      <c r="Q3167" s="44"/>
      <c r="R3167" s="44"/>
      <c r="S3167" s="44"/>
      <c r="T3167" s="44"/>
      <c r="U3167" s="44"/>
      <c r="V3167" s="44"/>
      <c r="W3167" s="44"/>
      <c r="X3167" s="44"/>
      <c r="Y3167" s="44"/>
    </row>
    <row r="3168" spans="14:25" ht="15" customHeight="1" x14ac:dyDescent="0.25">
      <c r="N3168" s="44"/>
      <c r="O3168" s="44"/>
      <c r="P3168" s="44"/>
      <c r="Q3168" s="44"/>
      <c r="R3168" s="44"/>
      <c r="S3168" s="44"/>
      <c r="T3168" s="44"/>
      <c r="U3168" s="44"/>
      <c r="V3168" s="44"/>
      <c r="W3168" s="44"/>
      <c r="X3168" s="44"/>
      <c r="Y3168" s="44"/>
    </row>
    <row r="3169" spans="14:25" ht="15" customHeight="1" x14ac:dyDescent="0.25">
      <c r="N3169" s="44"/>
      <c r="O3169" s="44"/>
      <c r="P3169" s="44"/>
      <c r="Q3169" s="44"/>
      <c r="R3169" s="44"/>
      <c r="S3169" s="44"/>
      <c r="T3169" s="44"/>
      <c r="U3169" s="44"/>
      <c r="V3169" s="44"/>
      <c r="W3169" s="44"/>
      <c r="X3169" s="44"/>
      <c r="Y3169" s="44"/>
    </row>
    <row r="3170" spans="14:25" ht="15" customHeight="1" x14ac:dyDescent="0.25">
      <c r="N3170" s="44"/>
      <c r="O3170" s="44"/>
      <c r="P3170" s="44"/>
      <c r="Q3170" s="44"/>
      <c r="R3170" s="44"/>
      <c r="S3170" s="44"/>
      <c r="T3170" s="44"/>
      <c r="U3170" s="44"/>
      <c r="V3170" s="44"/>
      <c r="W3170" s="44"/>
      <c r="X3170" s="44"/>
      <c r="Y3170" s="44"/>
    </row>
    <row r="3171" spans="14:25" ht="15" customHeight="1" x14ac:dyDescent="0.25">
      <c r="N3171" s="44"/>
      <c r="O3171" s="44"/>
      <c r="P3171" s="44"/>
      <c r="Q3171" s="44"/>
      <c r="R3171" s="44"/>
      <c r="S3171" s="44"/>
      <c r="T3171" s="44"/>
      <c r="U3171" s="44"/>
      <c r="V3171" s="44"/>
      <c r="W3171" s="44"/>
      <c r="X3171" s="44"/>
      <c r="Y3171" s="44"/>
    </row>
    <row r="3172" spans="14:25" ht="15" customHeight="1" x14ac:dyDescent="0.25">
      <c r="N3172" s="44"/>
      <c r="O3172" s="44"/>
      <c r="P3172" s="44"/>
      <c r="Q3172" s="44"/>
      <c r="R3172" s="44"/>
      <c r="S3172" s="44"/>
      <c r="T3172" s="44"/>
      <c r="U3172" s="44"/>
      <c r="V3172" s="44"/>
      <c r="W3172" s="44"/>
      <c r="X3172" s="44"/>
      <c r="Y3172" s="44"/>
    </row>
    <row r="3173" spans="14:25" ht="15" customHeight="1" x14ac:dyDescent="0.25">
      <c r="N3173" s="44"/>
      <c r="O3173" s="44"/>
      <c r="P3173" s="44"/>
      <c r="Q3173" s="44"/>
      <c r="R3173" s="44"/>
      <c r="S3173" s="44"/>
      <c r="T3173" s="44"/>
      <c r="U3173" s="44"/>
      <c r="V3173" s="44"/>
      <c r="W3173" s="44"/>
      <c r="X3173" s="44"/>
      <c r="Y3173" s="44"/>
    </row>
    <row r="3174" spans="14:25" ht="15" customHeight="1" x14ac:dyDescent="0.25">
      <c r="N3174" s="44"/>
      <c r="O3174" s="44"/>
      <c r="P3174" s="44"/>
      <c r="Q3174" s="44"/>
      <c r="R3174" s="44"/>
      <c r="S3174" s="44"/>
      <c r="T3174" s="44"/>
      <c r="U3174" s="44"/>
      <c r="V3174" s="44"/>
      <c r="W3174" s="44"/>
      <c r="X3174" s="44"/>
      <c r="Y3174" s="44"/>
    </row>
    <row r="3175" spans="14:25" ht="15" customHeight="1" x14ac:dyDescent="0.25">
      <c r="N3175" s="44"/>
      <c r="O3175" s="44"/>
      <c r="P3175" s="44"/>
      <c r="Q3175" s="44"/>
      <c r="R3175" s="44"/>
      <c r="S3175" s="44"/>
      <c r="T3175" s="44"/>
      <c r="U3175" s="44"/>
      <c r="V3175" s="44"/>
      <c r="W3175" s="44"/>
      <c r="X3175" s="44"/>
      <c r="Y3175" s="44"/>
    </row>
    <row r="3176" spans="14:25" ht="15" customHeight="1" x14ac:dyDescent="0.25">
      <c r="N3176" s="44"/>
      <c r="O3176" s="44"/>
      <c r="P3176" s="44"/>
      <c r="Q3176" s="44"/>
      <c r="R3176" s="44"/>
      <c r="S3176" s="44"/>
      <c r="T3176" s="44"/>
      <c r="U3176" s="44"/>
      <c r="V3176" s="44"/>
      <c r="W3176" s="44"/>
      <c r="X3176" s="44"/>
      <c r="Y3176" s="44"/>
    </row>
    <row r="3177" spans="14:25" ht="15" customHeight="1" x14ac:dyDescent="0.25">
      <c r="N3177" s="44"/>
      <c r="O3177" s="44"/>
      <c r="P3177" s="44"/>
      <c r="Q3177" s="44"/>
      <c r="R3177" s="44"/>
      <c r="S3177" s="44"/>
      <c r="T3177" s="44"/>
      <c r="U3177" s="44"/>
      <c r="V3177" s="44"/>
      <c r="W3177" s="44"/>
      <c r="X3177" s="44"/>
      <c r="Y3177" s="44"/>
    </row>
    <row r="3178" spans="14:25" ht="15" customHeight="1" x14ac:dyDescent="0.25">
      <c r="N3178" s="44"/>
      <c r="O3178" s="44"/>
      <c r="P3178" s="44"/>
      <c r="Q3178" s="44"/>
      <c r="R3178" s="44"/>
      <c r="S3178" s="44"/>
      <c r="T3178" s="44"/>
      <c r="U3178" s="44"/>
      <c r="V3178" s="44"/>
      <c r="W3178" s="44"/>
      <c r="X3178" s="44"/>
      <c r="Y3178" s="44"/>
    </row>
    <row r="3179" spans="14:25" ht="15" customHeight="1" x14ac:dyDescent="0.25">
      <c r="N3179" s="44"/>
      <c r="O3179" s="44"/>
      <c r="P3179" s="44"/>
      <c r="Q3179" s="44"/>
      <c r="R3179" s="44"/>
      <c r="S3179" s="44"/>
      <c r="T3179" s="44"/>
      <c r="U3179" s="44"/>
      <c r="V3179" s="44"/>
      <c r="W3179" s="44"/>
      <c r="X3179" s="44"/>
      <c r="Y3179" s="44"/>
    </row>
    <row r="3180" spans="14:25" ht="15" customHeight="1" x14ac:dyDescent="0.25">
      <c r="N3180" s="44"/>
      <c r="O3180" s="44"/>
      <c r="P3180" s="44"/>
      <c r="Q3180" s="44"/>
      <c r="R3180" s="44"/>
      <c r="S3180" s="44"/>
      <c r="T3180" s="44"/>
      <c r="U3180" s="44"/>
      <c r="V3180" s="44"/>
      <c r="W3180" s="44"/>
      <c r="X3180" s="44"/>
      <c r="Y3180" s="44"/>
    </row>
    <row r="3181" spans="14:25" ht="15" customHeight="1" x14ac:dyDescent="0.25">
      <c r="N3181" s="44"/>
      <c r="O3181" s="44"/>
      <c r="P3181" s="44"/>
      <c r="Q3181" s="44"/>
      <c r="R3181" s="44"/>
      <c r="S3181" s="44"/>
      <c r="T3181" s="44"/>
      <c r="U3181" s="44"/>
      <c r="V3181" s="44"/>
      <c r="W3181" s="44"/>
      <c r="X3181" s="44"/>
      <c r="Y3181" s="44"/>
    </row>
    <row r="3182" spans="14:25" ht="15" customHeight="1" x14ac:dyDescent="0.25">
      <c r="N3182" s="44"/>
      <c r="O3182" s="44"/>
      <c r="P3182" s="44"/>
      <c r="Q3182" s="44"/>
      <c r="R3182" s="44"/>
      <c r="S3182" s="44"/>
      <c r="T3182" s="44"/>
      <c r="U3182" s="44"/>
      <c r="V3182" s="44"/>
      <c r="W3182" s="44"/>
      <c r="X3182" s="44"/>
      <c r="Y3182" s="44"/>
    </row>
    <row r="3183" spans="14:25" ht="15" customHeight="1" x14ac:dyDescent="0.25">
      <c r="N3183" s="44"/>
      <c r="O3183" s="44"/>
      <c r="P3183" s="44"/>
      <c r="Q3183" s="44"/>
      <c r="R3183" s="44"/>
      <c r="S3183" s="44"/>
      <c r="T3183" s="44"/>
      <c r="U3183" s="44"/>
      <c r="V3183" s="44"/>
      <c r="W3183" s="44"/>
      <c r="X3183" s="44"/>
      <c r="Y3183" s="44"/>
    </row>
    <row r="3184" spans="14:25" ht="15" customHeight="1" x14ac:dyDescent="0.25">
      <c r="N3184" s="44"/>
      <c r="O3184" s="44"/>
      <c r="P3184" s="44"/>
      <c r="Q3184" s="44"/>
      <c r="R3184" s="44"/>
      <c r="S3184" s="44"/>
      <c r="T3184" s="44"/>
      <c r="U3184" s="44"/>
      <c r="V3184" s="44"/>
      <c r="W3184" s="44"/>
      <c r="X3184" s="44"/>
      <c r="Y3184" s="44"/>
    </row>
    <row r="3185" spans="14:25" ht="15" customHeight="1" x14ac:dyDescent="0.25">
      <c r="N3185" s="44"/>
      <c r="O3185" s="44"/>
      <c r="P3185" s="44"/>
      <c r="Q3185" s="44"/>
      <c r="R3185" s="44"/>
      <c r="S3185" s="44"/>
      <c r="T3185" s="44"/>
      <c r="U3185" s="44"/>
      <c r="V3185" s="44"/>
      <c r="W3185" s="44"/>
      <c r="X3185" s="44"/>
      <c r="Y3185" s="44"/>
    </row>
    <row r="3186" spans="14:25" ht="15" customHeight="1" x14ac:dyDescent="0.25">
      <c r="N3186" s="44"/>
      <c r="O3186" s="44"/>
      <c r="P3186" s="44"/>
      <c r="Q3186" s="44"/>
      <c r="R3186" s="44"/>
      <c r="S3186" s="44"/>
      <c r="T3186" s="44"/>
      <c r="U3186" s="44"/>
      <c r="V3186" s="44"/>
      <c r="W3186" s="44"/>
      <c r="X3186" s="44"/>
      <c r="Y3186" s="44"/>
    </row>
    <row r="3187" spans="14:25" ht="15" customHeight="1" x14ac:dyDescent="0.25">
      <c r="N3187" s="44"/>
      <c r="O3187" s="44"/>
      <c r="P3187" s="44"/>
      <c r="Q3187" s="44"/>
      <c r="R3187" s="44"/>
      <c r="S3187" s="44"/>
      <c r="T3187" s="44"/>
      <c r="U3187" s="44"/>
      <c r="V3187" s="44"/>
      <c r="W3187" s="44"/>
      <c r="X3187" s="44"/>
      <c r="Y3187" s="44"/>
    </row>
    <row r="3188" spans="14:25" ht="15" customHeight="1" x14ac:dyDescent="0.25">
      <c r="N3188" s="44"/>
      <c r="O3188" s="44"/>
      <c r="P3188" s="44"/>
      <c r="Q3188" s="44"/>
      <c r="R3188" s="44"/>
      <c r="S3188" s="44"/>
      <c r="T3188" s="44"/>
      <c r="U3188" s="44"/>
      <c r="V3188" s="44"/>
      <c r="W3188" s="44"/>
      <c r="X3188" s="44"/>
      <c r="Y3188" s="44"/>
    </row>
    <row r="3189" spans="14:25" ht="15" customHeight="1" x14ac:dyDescent="0.25">
      <c r="N3189" s="44"/>
      <c r="O3189" s="44"/>
      <c r="P3189" s="44"/>
      <c r="Q3189" s="44"/>
      <c r="R3189" s="44"/>
      <c r="S3189" s="44"/>
      <c r="T3189" s="44"/>
      <c r="U3189" s="44"/>
      <c r="V3189" s="44"/>
      <c r="W3189" s="44"/>
      <c r="X3189" s="44"/>
      <c r="Y3189" s="44"/>
    </row>
    <row r="3190" spans="14:25" ht="15" customHeight="1" x14ac:dyDescent="0.25">
      <c r="N3190" s="44"/>
      <c r="O3190" s="44"/>
      <c r="P3190" s="44"/>
      <c r="Q3190" s="44"/>
      <c r="R3190" s="44"/>
      <c r="S3190" s="44"/>
      <c r="T3190" s="44"/>
      <c r="U3190" s="44"/>
      <c r="V3190" s="44"/>
      <c r="W3190" s="44"/>
      <c r="X3190" s="44"/>
      <c r="Y3190" s="44"/>
    </row>
    <row r="3191" spans="14:25" ht="15" customHeight="1" x14ac:dyDescent="0.25">
      <c r="N3191" s="44"/>
      <c r="O3191" s="44"/>
      <c r="P3191" s="44"/>
      <c r="Q3191" s="44"/>
      <c r="R3191" s="44"/>
      <c r="S3191" s="44"/>
      <c r="T3191" s="44"/>
      <c r="U3191" s="44"/>
      <c r="V3191" s="44"/>
      <c r="W3191" s="44"/>
      <c r="X3191" s="44"/>
      <c r="Y3191" s="44"/>
    </row>
    <row r="3192" spans="14:25" ht="15" customHeight="1" x14ac:dyDescent="0.25">
      <c r="N3192" s="44"/>
      <c r="O3192" s="44"/>
      <c r="P3192" s="44"/>
      <c r="Q3192" s="44"/>
      <c r="R3192" s="44"/>
      <c r="S3192" s="44"/>
      <c r="T3192" s="44"/>
      <c r="U3192" s="44"/>
      <c r="V3192" s="44"/>
      <c r="W3192" s="44"/>
      <c r="X3192" s="44"/>
      <c r="Y3192" s="44"/>
    </row>
    <row r="3193" spans="14:25" ht="15" customHeight="1" x14ac:dyDescent="0.25">
      <c r="N3193" s="44"/>
      <c r="O3193" s="44"/>
      <c r="P3193" s="44"/>
      <c r="Q3193" s="44"/>
      <c r="R3193" s="44"/>
      <c r="S3193" s="44"/>
      <c r="T3193" s="44"/>
      <c r="U3193" s="44"/>
      <c r="V3193" s="44"/>
      <c r="W3193" s="44"/>
      <c r="X3193" s="44"/>
      <c r="Y3193" s="44"/>
    </row>
    <row r="3194" spans="14:25" ht="15" customHeight="1" x14ac:dyDescent="0.25">
      <c r="N3194" s="44"/>
      <c r="O3194" s="44"/>
      <c r="P3194" s="44"/>
      <c r="Q3194" s="44"/>
      <c r="R3194" s="44"/>
      <c r="S3194" s="44"/>
      <c r="T3194" s="44"/>
      <c r="U3194" s="44"/>
      <c r="V3194" s="44"/>
      <c r="W3194" s="44"/>
      <c r="X3194" s="44"/>
      <c r="Y3194" s="44"/>
    </row>
    <row r="3195" spans="14:25" ht="15" customHeight="1" x14ac:dyDescent="0.25">
      <c r="N3195" s="44"/>
      <c r="O3195" s="44"/>
      <c r="P3195" s="44"/>
      <c r="Q3195" s="44"/>
      <c r="R3195" s="44"/>
      <c r="S3195" s="44"/>
      <c r="T3195" s="44"/>
      <c r="U3195" s="44"/>
      <c r="V3195" s="44"/>
      <c r="W3195" s="44"/>
      <c r="X3195" s="44"/>
      <c r="Y3195" s="44"/>
    </row>
    <row r="3196" spans="14:25" ht="15" customHeight="1" x14ac:dyDescent="0.25">
      <c r="N3196" s="44"/>
      <c r="O3196" s="44"/>
      <c r="P3196" s="44"/>
      <c r="Q3196" s="44"/>
      <c r="R3196" s="44"/>
      <c r="S3196" s="44"/>
      <c r="T3196" s="44"/>
      <c r="U3196" s="44"/>
      <c r="V3196" s="44"/>
      <c r="W3196" s="44"/>
      <c r="X3196" s="44"/>
      <c r="Y3196" s="44"/>
    </row>
    <row r="3197" spans="14:25" ht="15" customHeight="1" x14ac:dyDescent="0.25">
      <c r="N3197" s="44"/>
      <c r="O3197" s="44"/>
      <c r="P3197" s="44"/>
      <c r="Q3197" s="44"/>
      <c r="R3197" s="44"/>
      <c r="S3197" s="44"/>
      <c r="T3197" s="44"/>
      <c r="U3197" s="44"/>
      <c r="V3197" s="44"/>
      <c r="W3197" s="44"/>
      <c r="X3197" s="44"/>
      <c r="Y3197" s="44"/>
    </row>
    <row r="3198" spans="14:25" ht="15" customHeight="1" x14ac:dyDescent="0.25">
      <c r="N3198" s="44"/>
      <c r="O3198" s="44"/>
      <c r="P3198" s="44"/>
      <c r="Q3198" s="44"/>
      <c r="R3198" s="44"/>
      <c r="S3198" s="44"/>
      <c r="T3198" s="44"/>
      <c r="U3198" s="44"/>
      <c r="V3198" s="44"/>
      <c r="W3198" s="44"/>
      <c r="X3198" s="44"/>
      <c r="Y3198" s="44"/>
    </row>
    <row r="3199" spans="14:25" ht="15" customHeight="1" x14ac:dyDescent="0.25">
      <c r="N3199" s="44"/>
      <c r="O3199" s="44"/>
      <c r="P3199" s="44"/>
      <c r="Q3199" s="44"/>
      <c r="R3199" s="44"/>
      <c r="S3199" s="44"/>
      <c r="T3199" s="44"/>
      <c r="U3199" s="44"/>
      <c r="V3199" s="44"/>
      <c r="W3199" s="44"/>
      <c r="X3199" s="44"/>
      <c r="Y3199" s="44"/>
    </row>
    <row r="3200" spans="14:25" ht="15" customHeight="1" x14ac:dyDescent="0.25">
      <c r="N3200" s="44"/>
      <c r="O3200" s="44"/>
      <c r="P3200" s="44"/>
      <c r="Q3200" s="44"/>
      <c r="R3200" s="44"/>
      <c r="S3200" s="44"/>
      <c r="T3200" s="44"/>
      <c r="U3200" s="44"/>
      <c r="V3200" s="44"/>
      <c r="W3200" s="44"/>
      <c r="X3200" s="44"/>
      <c r="Y3200" s="44"/>
    </row>
    <row r="3201" spans="14:25" ht="15" customHeight="1" x14ac:dyDescent="0.25">
      <c r="N3201" s="44"/>
      <c r="O3201" s="44"/>
      <c r="P3201" s="44"/>
      <c r="Q3201" s="44"/>
      <c r="R3201" s="44"/>
      <c r="S3201" s="44"/>
      <c r="T3201" s="44"/>
      <c r="U3201" s="44"/>
      <c r="V3201" s="44"/>
      <c r="W3201" s="44"/>
      <c r="X3201" s="44"/>
      <c r="Y3201" s="44"/>
    </row>
    <row r="3202" spans="14:25" ht="15" customHeight="1" x14ac:dyDescent="0.25">
      <c r="N3202" s="44"/>
      <c r="O3202" s="44"/>
      <c r="P3202" s="44"/>
      <c r="Q3202" s="44"/>
      <c r="R3202" s="44"/>
      <c r="S3202" s="44"/>
      <c r="T3202" s="44"/>
      <c r="U3202" s="44"/>
      <c r="V3202" s="44"/>
      <c r="W3202" s="44"/>
      <c r="X3202" s="44"/>
      <c r="Y3202" s="44"/>
    </row>
    <row r="3203" spans="14:25" ht="15" customHeight="1" x14ac:dyDescent="0.25">
      <c r="N3203" s="44"/>
      <c r="O3203" s="44"/>
      <c r="P3203" s="44"/>
      <c r="Q3203" s="44"/>
      <c r="R3203" s="44"/>
      <c r="S3203" s="44"/>
      <c r="T3203" s="44"/>
      <c r="U3203" s="44"/>
      <c r="V3203" s="44"/>
      <c r="W3203" s="44"/>
      <c r="X3203" s="44"/>
      <c r="Y3203" s="44"/>
    </row>
    <row r="3204" spans="14:25" ht="15" customHeight="1" x14ac:dyDescent="0.25">
      <c r="N3204" s="44"/>
      <c r="O3204" s="44"/>
      <c r="P3204" s="44"/>
      <c r="Q3204" s="44"/>
      <c r="R3204" s="44"/>
      <c r="S3204" s="44"/>
      <c r="T3204" s="44"/>
      <c r="U3204" s="44"/>
      <c r="V3204" s="44"/>
      <c r="W3204" s="44"/>
      <c r="X3204" s="44"/>
      <c r="Y3204" s="44"/>
    </row>
    <row r="3205" spans="14:25" ht="15" customHeight="1" x14ac:dyDescent="0.25">
      <c r="N3205" s="44"/>
      <c r="O3205" s="44"/>
      <c r="P3205" s="44"/>
      <c r="Q3205" s="44"/>
      <c r="R3205" s="44"/>
      <c r="S3205" s="44"/>
      <c r="T3205" s="44"/>
      <c r="U3205" s="44"/>
      <c r="V3205" s="44"/>
      <c r="W3205" s="44"/>
      <c r="X3205" s="44"/>
      <c r="Y3205" s="44"/>
    </row>
    <row r="3206" spans="14:25" ht="15" customHeight="1" x14ac:dyDescent="0.25">
      <c r="N3206" s="44"/>
      <c r="O3206" s="44"/>
      <c r="P3206" s="44"/>
      <c r="Q3206" s="44"/>
      <c r="R3206" s="44"/>
      <c r="S3206" s="44"/>
      <c r="T3206" s="44"/>
      <c r="U3206" s="44"/>
      <c r="V3206" s="44"/>
      <c r="W3206" s="44"/>
      <c r="X3206" s="44"/>
      <c r="Y3206" s="44"/>
    </row>
    <row r="3207" spans="14:25" ht="15" customHeight="1" x14ac:dyDescent="0.25">
      <c r="N3207" s="44"/>
      <c r="O3207" s="44"/>
      <c r="P3207" s="44"/>
      <c r="Q3207" s="44"/>
      <c r="R3207" s="44"/>
      <c r="S3207" s="44"/>
      <c r="T3207" s="44"/>
      <c r="U3207" s="44"/>
      <c r="V3207" s="44"/>
      <c r="W3207" s="44"/>
      <c r="X3207" s="44"/>
      <c r="Y3207" s="44"/>
    </row>
    <row r="3208" spans="14:25" ht="15" customHeight="1" x14ac:dyDescent="0.25">
      <c r="N3208" s="44"/>
      <c r="O3208" s="44"/>
      <c r="P3208" s="44"/>
      <c r="Q3208" s="44"/>
      <c r="R3208" s="44"/>
      <c r="S3208" s="44"/>
      <c r="T3208" s="44"/>
      <c r="U3208" s="44"/>
      <c r="V3208" s="44"/>
      <c r="W3208" s="44"/>
      <c r="X3208" s="44"/>
      <c r="Y3208" s="44"/>
    </row>
    <row r="3209" spans="14:25" ht="15" customHeight="1" x14ac:dyDescent="0.25">
      <c r="N3209" s="44"/>
      <c r="O3209" s="44"/>
      <c r="P3209" s="44"/>
      <c r="Q3209" s="44"/>
      <c r="R3209" s="44"/>
      <c r="S3209" s="44"/>
      <c r="T3209" s="44"/>
      <c r="U3209" s="44"/>
      <c r="V3209" s="44"/>
      <c r="W3209" s="44"/>
      <c r="X3209" s="44"/>
      <c r="Y3209" s="44"/>
    </row>
    <row r="3210" spans="14:25" ht="15" customHeight="1" x14ac:dyDescent="0.25">
      <c r="N3210" s="44"/>
      <c r="O3210" s="44"/>
      <c r="P3210" s="44"/>
      <c r="Q3210" s="44"/>
      <c r="R3210" s="44"/>
      <c r="S3210" s="44"/>
      <c r="T3210" s="44"/>
      <c r="U3210" s="44"/>
      <c r="V3210" s="44"/>
      <c r="W3210" s="44"/>
      <c r="X3210" s="44"/>
      <c r="Y3210" s="44"/>
    </row>
    <row r="3211" spans="14:25" ht="15" customHeight="1" x14ac:dyDescent="0.25">
      <c r="N3211" s="44"/>
      <c r="O3211" s="44"/>
      <c r="P3211" s="44"/>
      <c r="Q3211" s="44"/>
      <c r="R3211" s="44"/>
      <c r="S3211" s="44"/>
      <c r="T3211" s="44"/>
      <c r="U3211" s="44"/>
      <c r="V3211" s="44"/>
      <c r="W3211" s="44"/>
      <c r="X3211" s="44"/>
      <c r="Y3211" s="44"/>
    </row>
    <row r="3212" spans="14:25" ht="15" customHeight="1" x14ac:dyDescent="0.25">
      <c r="N3212" s="44"/>
      <c r="O3212" s="44"/>
      <c r="P3212" s="44"/>
      <c r="Q3212" s="44"/>
      <c r="R3212" s="44"/>
      <c r="S3212" s="44"/>
      <c r="T3212" s="44"/>
      <c r="U3212" s="44"/>
      <c r="V3212" s="44"/>
      <c r="W3212" s="44"/>
      <c r="X3212" s="44"/>
      <c r="Y3212" s="44"/>
    </row>
    <row r="3213" spans="14:25" ht="15" customHeight="1" x14ac:dyDescent="0.25">
      <c r="N3213" s="44"/>
      <c r="O3213" s="44"/>
      <c r="P3213" s="44"/>
      <c r="Q3213" s="44"/>
      <c r="R3213" s="44"/>
      <c r="S3213" s="44"/>
      <c r="T3213" s="44"/>
      <c r="U3213" s="44"/>
      <c r="V3213" s="44"/>
      <c r="W3213" s="44"/>
      <c r="X3213" s="44"/>
      <c r="Y3213" s="44"/>
    </row>
    <row r="3214" spans="14:25" ht="15" customHeight="1" x14ac:dyDescent="0.25">
      <c r="N3214" s="44"/>
      <c r="O3214" s="44"/>
      <c r="P3214" s="44"/>
      <c r="Q3214" s="44"/>
      <c r="R3214" s="44"/>
      <c r="S3214" s="44"/>
      <c r="T3214" s="44"/>
      <c r="U3214" s="44"/>
      <c r="V3214" s="44"/>
      <c r="W3214" s="44"/>
      <c r="X3214" s="44"/>
      <c r="Y3214" s="44"/>
    </row>
    <row r="3215" spans="14:25" ht="15" customHeight="1" x14ac:dyDescent="0.25">
      <c r="N3215" s="44"/>
      <c r="O3215" s="44"/>
      <c r="P3215" s="44"/>
      <c r="Q3215" s="44"/>
      <c r="R3215" s="44"/>
      <c r="S3215" s="44"/>
      <c r="T3215" s="44"/>
      <c r="U3215" s="44"/>
      <c r="V3215" s="44"/>
      <c r="W3215" s="44"/>
      <c r="X3215" s="44"/>
      <c r="Y3215" s="44"/>
    </row>
    <row r="3216" spans="14:25" ht="15" customHeight="1" x14ac:dyDescent="0.25">
      <c r="N3216" s="44"/>
      <c r="O3216" s="44"/>
      <c r="P3216" s="44"/>
      <c r="Q3216" s="44"/>
      <c r="R3216" s="44"/>
      <c r="S3216" s="44"/>
      <c r="T3216" s="44"/>
      <c r="U3216" s="44"/>
      <c r="V3216" s="44"/>
      <c r="W3216" s="44"/>
      <c r="X3216" s="44"/>
      <c r="Y3216" s="44"/>
    </row>
    <row r="3217" spans="14:25" ht="15" customHeight="1" x14ac:dyDescent="0.25">
      <c r="N3217" s="44"/>
      <c r="O3217" s="44"/>
      <c r="P3217" s="44"/>
      <c r="Q3217" s="44"/>
      <c r="R3217" s="44"/>
      <c r="S3217" s="44"/>
      <c r="T3217" s="44"/>
      <c r="U3217" s="44"/>
      <c r="V3217" s="44"/>
      <c r="W3217" s="44"/>
      <c r="X3217" s="44"/>
      <c r="Y3217" s="44"/>
    </row>
    <row r="3218" spans="14:25" ht="15" customHeight="1" x14ac:dyDescent="0.25">
      <c r="N3218" s="44"/>
      <c r="O3218" s="44"/>
      <c r="P3218" s="44"/>
      <c r="Q3218" s="44"/>
      <c r="R3218" s="44"/>
      <c r="S3218" s="44"/>
      <c r="T3218" s="44"/>
      <c r="U3218" s="44"/>
      <c r="V3218" s="44"/>
      <c r="W3218" s="44"/>
      <c r="X3218" s="44"/>
      <c r="Y3218" s="44"/>
    </row>
    <row r="3219" spans="14:25" ht="15" customHeight="1" x14ac:dyDescent="0.25">
      <c r="N3219" s="44"/>
      <c r="O3219" s="44"/>
      <c r="P3219" s="44"/>
      <c r="Q3219" s="44"/>
      <c r="R3219" s="44"/>
      <c r="S3219" s="44"/>
      <c r="T3219" s="44"/>
      <c r="U3219" s="44"/>
      <c r="V3219" s="44"/>
      <c r="W3219" s="44"/>
      <c r="X3219" s="44"/>
      <c r="Y3219" s="44"/>
    </row>
    <row r="3220" spans="14:25" ht="15" customHeight="1" x14ac:dyDescent="0.25">
      <c r="N3220" s="44"/>
      <c r="O3220" s="44"/>
      <c r="P3220" s="44"/>
      <c r="Q3220" s="44"/>
      <c r="R3220" s="44"/>
      <c r="S3220" s="44"/>
      <c r="T3220" s="44"/>
      <c r="U3220" s="44"/>
      <c r="V3220" s="44"/>
      <c r="W3220" s="44"/>
      <c r="X3220" s="44"/>
      <c r="Y3220" s="44"/>
    </row>
    <row r="3221" spans="14:25" ht="15" customHeight="1" x14ac:dyDescent="0.25">
      <c r="N3221" s="44"/>
      <c r="O3221" s="44"/>
      <c r="P3221" s="44"/>
      <c r="Q3221" s="44"/>
      <c r="R3221" s="44"/>
      <c r="S3221" s="44"/>
      <c r="T3221" s="44"/>
      <c r="U3221" s="44"/>
      <c r="V3221" s="44"/>
      <c r="W3221" s="44"/>
      <c r="X3221" s="44"/>
      <c r="Y3221" s="44"/>
    </row>
    <row r="3222" spans="14:25" ht="15" customHeight="1" x14ac:dyDescent="0.25">
      <c r="N3222" s="44"/>
      <c r="O3222" s="44"/>
      <c r="P3222" s="44"/>
      <c r="Q3222" s="44"/>
      <c r="R3222" s="44"/>
      <c r="S3222" s="44"/>
      <c r="T3222" s="44"/>
      <c r="U3222" s="44"/>
      <c r="V3222" s="44"/>
      <c r="W3222" s="44"/>
      <c r="X3222" s="44"/>
      <c r="Y3222" s="44"/>
    </row>
    <row r="3223" spans="14:25" ht="15" customHeight="1" x14ac:dyDescent="0.25">
      <c r="N3223" s="44"/>
      <c r="O3223" s="44"/>
      <c r="P3223" s="44"/>
      <c r="Q3223" s="44"/>
      <c r="R3223" s="44"/>
      <c r="S3223" s="44"/>
      <c r="T3223" s="44"/>
      <c r="U3223" s="44"/>
      <c r="V3223" s="44"/>
      <c r="W3223" s="44"/>
      <c r="X3223" s="44"/>
      <c r="Y3223" s="44"/>
    </row>
    <row r="3224" spans="14:25" ht="15" customHeight="1" x14ac:dyDescent="0.25">
      <c r="N3224" s="44"/>
      <c r="O3224" s="44"/>
      <c r="P3224" s="44"/>
      <c r="Q3224" s="44"/>
      <c r="R3224" s="44"/>
      <c r="S3224" s="44"/>
      <c r="T3224" s="44"/>
      <c r="U3224" s="44"/>
      <c r="V3224" s="44"/>
      <c r="W3224" s="44"/>
      <c r="X3224" s="44"/>
      <c r="Y3224" s="44"/>
    </row>
    <row r="3225" spans="14:25" ht="15" customHeight="1" x14ac:dyDescent="0.25">
      <c r="N3225" s="44"/>
      <c r="O3225" s="44"/>
      <c r="P3225" s="44"/>
      <c r="Q3225" s="44"/>
      <c r="R3225" s="44"/>
      <c r="S3225" s="44"/>
      <c r="T3225" s="44"/>
      <c r="U3225" s="44"/>
      <c r="V3225" s="44"/>
      <c r="W3225" s="44"/>
      <c r="X3225" s="44"/>
      <c r="Y3225" s="44"/>
    </row>
    <row r="3226" spans="14:25" ht="15" customHeight="1" x14ac:dyDescent="0.25">
      <c r="N3226" s="44"/>
      <c r="O3226" s="44"/>
      <c r="P3226" s="44"/>
      <c r="Q3226" s="44"/>
      <c r="R3226" s="44"/>
      <c r="S3226" s="44"/>
      <c r="T3226" s="44"/>
      <c r="U3226" s="44"/>
      <c r="V3226" s="44"/>
      <c r="W3226" s="44"/>
      <c r="X3226" s="44"/>
      <c r="Y3226" s="44"/>
    </row>
    <row r="3227" spans="14:25" ht="15" customHeight="1" x14ac:dyDescent="0.25">
      <c r="N3227" s="44"/>
      <c r="O3227" s="44"/>
      <c r="P3227" s="44"/>
      <c r="Q3227" s="44"/>
      <c r="R3227" s="44"/>
      <c r="S3227" s="44"/>
      <c r="T3227" s="44"/>
      <c r="U3227" s="44"/>
      <c r="V3227" s="44"/>
      <c r="W3227" s="44"/>
      <c r="X3227" s="44"/>
      <c r="Y3227" s="44"/>
    </row>
    <row r="3228" spans="14:25" ht="15" customHeight="1" x14ac:dyDescent="0.25">
      <c r="N3228" s="44"/>
      <c r="O3228" s="44"/>
      <c r="P3228" s="44"/>
      <c r="Q3228" s="44"/>
      <c r="R3228" s="44"/>
      <c r="S3228" s="44"/>
      <c r="T3228" s="44"/>
      <c r="U3228" s="44"/>
      <c r="V3228" s="44"/>
      <c r="W3228" s="44"/>
      <c r="X3228" s="44"/>
      <c r="Y3228" s="44"/>
    </row>
    <row r="3229" spans="14:25" ht="15" customHeight="1" x14ac:dyDescent="0.25">
      <c r="N3229" s="44"/>
      <c r="O3229" s="44"/>
      <c r="P3229" s="44"/>
      <c r="Q3229" s="44"/>
      <c r="R3229" s="44"/>
      <c r="S3229" s="44"/>
      <c r="T3229" s="44"/>
      <c r="U3229" s="44"/>
      <c r="V3229" s="44"/>
      <c r="W3229" s="44"/>
      <c r="X3229" s="44"/>
      <c r="Y3229" s="44"/>
    </row>
    <row r="3230" spans="14:25" ht="15" customHeight="1" x14ac:dyDescent="0.25">
      <c r="N3230" s="44"/>
      <c r="O3230" s="44"/>
      <c r="P3230" s="44"/>
      <c r="Q3230" s="44"/>
      <c r="R3230" s="44"/>
      <c r="S3230" s="44"/>
      <c r="T3230" s="44"/>
      <c r="U3230" s="44"/>
      <c r="V3230" s="44"/>
      <c r="W3230" s="44"/>
      <c r="X3230" s="44"/>
      <c r="Y3230" s="44"/>
    </row>
    <row r="3231" spans="14:25" ht="15" customHeight="1" x14ac:dyDescent="0.25">
      <c r="N3231" s="44"/>
      <c r="O3231" s="44"/>
      <c r="P3231" s="44"/>
      <c r="Q3231" s="44"/>
      <c r="R3231" s="44"/>
      <c r="S3231" s="44"/>
      <c r="T3231" s="44"/>
      <c r="U3231" s="44"/>
      <c r="V3231" s="44"/>
      <c r="W3231" s="44"/>
      <c r="X3231" s="44"/>
      <c r="Y3231" s="44"/>
    </row>
    <row r="3232" spans="14:25" ht="15" customHeight="1" x14ac:dyDescent="0.25">
      <c r="N3232" s="44"/>
      <c r="O3232" s="44"/>
      <c r="P3232" s="44"/>
      <c r="Q3232" s="44"/>
      <c r="R3232" s="44"/>
      <c r="S3232" s="44"/>
      <c r="T3232" s="44"/>
      <c r="U3232" s="44"/>
      <c r="V3232" s="44"/>
      <c r="W3232" s="44"/>
      <c r="X3232" s="44"/>
      <c r="Y3232" s="44"/>
    </row>
    <row r="3233" spans="14:25" ht="15" customHeight="1" x14ac:dyDescent="0.25">
      <c r="N3233" s="44"/>
      <c r="O3233" s="44"/>
      <c r="P3233" s="44"/>
      <c r="Q3233" s="44"/>
      <c r="R3233" s="44"/>
      <c r="S3233" s="44"/>
      <c r="T3233" s="44"/>
      <c r="U3233" s="44"/>
      <c r="V3233" s="44"/>
      <c r="W3233" s="44"/>
      <c r="X3233" s="44"/>
      <c r="Y3233" s="44"/>
    </row>
    <row r="3234" spans="14:25" ht="15" customHeight="1" x14ac:dyDescent="0.25">
      <c r="N3234" s="44"/>
      <c r="O3234" s="44"/>
      <c r="P3234" s="44"/>
      <c r="Q3234" s="44"/>
      <c r="R3234" s="44"/>
      <c r="S3234" s="44"/>
      <c r="T3234" s="44"/>
      <c r="U3234" s="44"/>
      <c r="V3234" s="44"/>
      <c r="W3234" s="44"/>
      <c r="X3234" s="44"/>
      <c r="Y3234" s="44"/>
    </row>
    <row r="3235" spans="14:25" ht="15" customHeight="1" x14ac:dyDescent="0.25">
      <c r="N3235" s="44"/>
      <c r="O3235" s="44"/>
      <c r="P3235" s="44"/>
      <c r="Q3235" s="44"/>
      <c r="R3235" s="44"/>
      <c r="S3235" s="44"/>
      <c r="T3235" s="44"/>
      <c r="U3235" s="44"/>
      <c r="V3235" s="44"/>
      <c r="W3235" s="44"/>
      <c r="X3235" s="44"/>
      <c r="Y3235" s="44"/>
    </row>
    <row r="3236" spans="14:25" ht="15" customHeight="1" x14ac:dyDescent="0.25">
      <c r="N3236" s="44"/>
      <c r="O3236" s="44"/>
      <c r="P3236" s="44"/>
      <c r="Q3236" s="44"/>
      <c r="R3236" s="44"/>
      <c r="S3236" s="44"/>
      <c r="T3236" s="44"/>
      <c r="U3236" s="44"/>
      <c r="V3236" s="44"/>
      <c r="W3236" s="44"/>
      <c r="X3236" s="44"/>
      <c r="Y3236" s="44"/>
    </row>
    <row r="3237" spans="14:25" ht="15" customHeight="1" x14ac:dyDescent="0.25">
      <c r="N3237" s="44"/>
      <c r="O3237" s="44"/>
      <c r="P3237" s="44"/>
      <c r="Q3237" s="44"/>
      <c r="R3237" s="44"/>
      <c r="S3237" s="44"/>
      <c r="T3237" s="44"/>
      <c r="U3237" s="44"/>
      <c r="V3237" s="44"/>
      <c r="W3237" s="44"/>
      <c r="X3237" s="44"/>
      <c r="Y3237" s="44"/>
    </row>
    <row r="3238" spans="14:25" ht="15" customHeight="1" x14ac:dyDescent="0.25">
      <c r="N3238" s="44"/>
      <c r="O3238" s="44"/>
      <c r="P3238" s="44"/>
      <c r="Q3238" s="44"/>
      <c r="R3238" s="44"/>
      <c r="S3238" s="44"/>
      <c r="T3238" s="44"/>
      <c r="U3238" s="44"/>
      <c r="V3238" s="44"/>
      <c r="W3238" s="44"/>
      <c r="X3238" s="44"/>
      <c r="Y3238" s="44"/>
    </row>
    <row r="3239" spans="14:25" ht="15" customHeight="1" x14ac:dyDescent="0.25">
      <c r="N3239" s="44"/>
      <c r="O3239" s="44"/>
      <c r="P3239" s="44"/>
      <c r="Q3239" s="44"/>
      <c r="R3239" s="44"/>
      <c r="S3239" s="44"/>
      <c r="T3239" s="44"/>
      <c r="U3239" s="44"/>
      <c r="V3239" s="44"/>
      <c r="W3239" s="44"/>
      <c r="X3239" s="44"/>
      <c r="Y3239" s="44"/>
    </row>
    <row r="3240" spans="14:25" ht="15" customHeight="1" x14ac:dyDescent="0.25">
      <c r="N3240" s="44"/>
      <c r="O3240" s="44"/>
      <c r="P3240" s="44"/>
      <c r="Q3240" s="44"/>
      <c r="R3240" s="44"/>
      <c r="S3240" s="44"/>
      <c r="T3240" s="44"/>
      <c r="U3240" s="44"/>
      <c r="V3240" s="44"/>
      <c r="W3240" s="44"/>
      <c r="X3240" s="44"/>
      <c r="Y3240" s="44"/>
    </row>
    <row r="3241" spans="14:25" ht="15" customHeight="1" x14ac:dyDescent="0.25">
      <c r="N3241" s="44"/>
      <c r="O3241" s="44"/>
      <c r="P3241" s="44"/>
      <c r="Q3241" s="44"/>
      <c r="R3241" s="44"/>
      <c r="S3241" s="44"/>
      <c r="T3241" s="44"/>
      <c r="U3241" s="44"/>
      <c r="V3241" s="44"/>
      <c r="W3241" s="44"/>
      <c r="X3241" s="44"/>
      <c r="Y3241" s="44"/>
    </row>
    <row r="3242" spans="14:25" ht="15" customHeight="1" x14ac:dyDescent="0.25">
      <c r="N3242" s="44"/>
      <c r="O3242" s="44"/>
      <c r="P3242" s="44"/>
      <c r="Q3242" s="44"/>
      <c r="R3242" s="44"/>
      <c r="S3242" s="44"/>
      <c r="T3242" s="44"/>
      <c r="U3242" s="44"/>
      <c r="V3242" s="44"/>
      <c r="W3242" s="44"/>
      <c r="X3242" s="44"/>
      <c r="Y3242" s="44"/>
    </row>
    <row r="3243" spans="14:25" ht="15" customHeight="1" x14ac:dyDescent="0.25">
      <c r="N3243" s="44"/>
      <c r="O3243" s="44"/>
      <c r="P3243" s="44"/>
      <c r="Q3243" s="44"/>
      <c r="R3243" s="44"/>
      <c r="S3243" s="44"/>
      <c r="T3243" s="44"/>
      <c r="U3243" s="44"/>
      <c r="V3243" s="44"/>
      <c r="W3243" s="44"/>
      <c r="X3243" s="44"/>
      <c r="Y3243" s="44"/>
    </row>
    <row r="3244" spans="14:25" ht="15" customHeight="1" x14ac:dyDescent="0.25">
      <c r="N3244" s="44"/>
      <c r="O3244" s="44"/>
      <c r="P3244" s="44"/>
      <c r="Q3244" s="44"/>
      <c r="R3244" s="44"/>
      <c r="S3244" s="44"/>
      <c r="T3244" s="44"/>
      <c r="U3244" s="44"/>
      <c r="V3244" s="44"/>
      <c r="W3244" s="44"/>
      <c r="X3244" s="44"/>
      <c r="Y3244" s="44"/>
    </row>
    <row r="3245" spans="14:25" ht="15" customHeight="1" x14ac:dyDescent="0.25">
      <c r="N3245" s="44"/>
      <c r="O3245" s="44"/>
      <c r="P3245" s="44"/>
      <c r="Q3245" s="44"/>
      <c r="R3245" s="44"/>
      <c r="S3245" s="44"/>
      <c r="T3245" s="44"/>
      <c r="U3245" s="44"/>
      <c r="V3245" s="44"/>
      <c r="W3245" s="44"/>
      <c r="X3245" s="44"/>
      <c r="Y3245" s="44"/>
    </row>
    <row r="3246" spans="14:25" ht="15" customHeight="1" x14ac:dyDescent="0.25">
      <c r="N3246" s="44"/>
      <c r="O3246" s="44"/>
      <c r="P3246" s="44"/>
      <c r="Q3246" s="44"/>
      <c r="R3246" s="44"/>
      <c r="S3246" s="44"/>
      <c r="T3246" s="44"/>
      <c r="U3246" s="44"/>
      <c r="V3246" s="44"/>
      <c r="W3246" s="44"/>
      <c r="X3246" s="44"/>
      <c r="Y3246" s="44"/>
    </row>
    <row r="3247" spans="14:25" ht="15" customHeight="1" x14ac:dyDescent="0.25">
      <c r="N3247" s="44"/>
      <c r="O3247" s="44"/>
      <c r="P3247" s="44"/>
      <c r="Q3247" s="44"/>
      <c r="R3247" s="44"/>
      <c r="S3247" s="44"/>
      <c r="T3247" s="44"/>
      <c r="U3247" s="44"/>
      <c r="V3247" s="44"/>
      <c r="W3247" s="44"/>
      <c r="X3247" s="44"/>
      <c r="Y3247" s="44"/>
    </row>
    <row r="3248" spans="14:25" ht="15" customHeight="1" x14ac:dyDescent="0.25">
      <c r="N3248" s="44"/>
      <c r="O3248" s="44"/>
      <c r="P3248" s="44"/>
      <c r="Q3248" s="44"/>
      <c r="R3248" s="44"/>
      <c r="S3248" s="44"/>
      <c r="T3248" s="44"/>
      <c r="U3248" s="44"/>
      <c r="V3248" s="44"/>
      <c r="W3248" s="44"/>
      <c r="X3248" s="44"/>
      <c r="Y3248" s="44"/>
    </row>
    <row r="3249" spans="14:25" ht="15" customHeight="1" x14ac:dyDescent="0.25">
      <c r="N3249" s="44"/>
      <c r="O3249" s="44"/>
      <c r="P3249" s="44"/>
      <c r="Q3249" s="44"/>
      <c r="R3249" s="44"/>
      <c r="S3249" s="44"/>
      <c r="T3249" s="44"/>
      <c r="U3249" s="44"/>
      <c r="V3249" s="44"/>
      <c r="W3249" s="44"/>
      <c r="X3249" s="44"/>
      <c r="Y3249" s="44"/>
    </row>
    <row r="3250" spans="14:25" ht="15" customHeight="1" x14ac:dyDescent="0.25">
      <c r="N3250" s="44"/>
      <c r="O3250" s="44"/>
      <c r="P3250" s="44"/>
      <c r="Q3250" s="44"/>
      <c r="R3250" s="44"/>
      <c r="S3250" s="44"/>
      <c r="T3250" s="44"/>
      <c r="U3250" s="44"/>
      <c r="V3250" s="44"/>
      <c r="W3250" s="44"/>
      <c r="X3250" s="44"/>
      <c r="Y3250" s="44"/>
    </row>
    <row r="3251" spans="14:25" ht="15" customHeight="1" x14ac:dyDescent="0.25">
      <c r="N3251" s="44"/>
      <c r="O3251" s="44"/>
      <c r="P3251" s="44"/>
      <c r="Q3251" s="44"/>
      <c r="R3251" s="44"/>
      <c r="S3251" s="44"/>
      <c r="T3251" s="44"/>
      <c r="U3251" s="44"/>
      <c r="V3251" s="44"/>
      <c r="W3251" s="44"/>
      <c r="X3251" s="44"/>
      <c r="Y3251" s="44"/>
    </row>
    <row r="3252" spans="14:25" ht="15" customHeight="1" x14ac:dyDescent="0.25">
      <c r="N3252" s="44"/>
      <c r="O3252" s="44"/>
      <c r="P3252" s="44"/>
      <c r="Q3252" s="44"/>
      <c r="R3252" s="44"/>
      <c r="S3252" s="44"/>
      <c r="T3252" s="44"/>
      <c r="U3252" s="44"/>
      <c r="V3252" s="44"/>
      <c r="W3252" s="44"/>
      <c r="X3252" s="44"/>
      <c r="Y3252" s="44"/>
    </row>
    <row r="3253" spans="14:25" ht="15" customHeight="1" x14ac:dyDescent="0.25">
      <c r="N3253" s="44"/>
      <c r="O3253" s="44"/>
      <c r="P3253" s="44"/>
      <c r="Q3253" s="44"/>
      <c r="R3253" s="44"/>
      <c r="S3253" s="44"/>
      <c r="T3253" s="44"/>
      <c r="U3253" s="44"/>
      <c r="V3253" s="44"/>
      <c r="W3253" s="44"/>
      <c r="X3253" s="44"/>
      <c r="Y3253" s="44"/>
    </row>
    <row r="3254" spans="14:25" ht="15" customHeight="1" x14ac:dyDescent="0.25">
      <c r="N3254" s="44"/>
      <c r="O3254" s="44"/>
      <c r="P3254" s="44"/>
      <c r="Q3254" s="44"/>
      <c r="R3254" s="44"/>
      <c r="S3254" s="44"/>
      <c r="T3254" s="44"/>
      <c r="U3254" s="44"/>
      <c r="V3254" s="44"/>
      <c r="W3254" s="44"/>
      <c r="X3254" s="44"/>
      <c r="Y3254" s="44"/>
    </row>
    <row r="3255" spans="14:25" ht="15" customHeight="1" x14ac:dyDescent="0.25">
      <c r="N3255" s="44"/>
      <c r="O3255" s="44"/>
      <c r="P3255" s="44"/>
      <c r="Q3255" s="44"/>
      <c r="R3255" s="44"/>
      <c r="S3255" s="44"/>
      <c r="T3255" s="44"/>
      <c r="U3255" s="44"/>
      <c r="V3255" s="44"/>
      <c r="W3255" s="44"/>
      <c r="X3255" s="44"/>
      <c r="Y3255" s="44"/>
    </row>
    <row r="3256" spans="14:25" ht="15" customHeight="1" x14ac:dyDescent="0.25">
      <c r="N3256" s="44"/>
      <c r="O3256" s="44"/>
      <c r="P3256" s="44"/>
      <c r="Q3256" s="44"/>
      <c r="R3256" s="44"/>
      <c r="S3256" s="44"/>
      <c r="T3256" s="44"/>
      <c r="U3256" s="44"/>
      <c r="V3256" s="44"/>
      <c r="W3256" s="44"/>
      <c r="X3256" s="44"/>
      <c r="Y3256" s="44"/>
    </row>
    <row r="3257" spans="14:25" ht="15" customHeight="1" x14ac:dyDescent="0.25">
      <c r="N3257" s="44"/>
      <c r="O3257" s="44"/>
      <c r="P3257" s="44"/>
      <c r="Q3257" s="44"/>
      <c r="R3257" s="44"/>
      <c r="S3257" s="44"/>
      <c r="T3257" s="44"/>
      <c r="U3257" s="44"/>
      <c r="V3257" s="44"/>
      <c r="W3257" s="44"/>
      <c r="X3257" s="44"/>
      <c r="Y3257" s="44"/>
    </row>
    <row r="3258" spans="14:25" ht="15" customHeight="1" x14ac:dyDescent="0.25">
      <c r="N3258" s="44"/>
      <c r="O3258" s="44"/>
      <c r="P3258" s="44"/>
      <c r="Q3258" s="44"/>
      <c r="R3258" s="44"/>
      <c r="S3258" s="44"/>
      <c r="T3258" s="44"/>
      <c r="U3258" s="44"/>
      <c r="V3258" s="44"/>
      <c r="W3258" s="44"/>
      <c r="X3258" s="44"/>
      <c r="Y3258" s="44"/>
    </row>
    <row r="3259" spans="14:25" ht="15" customHeight="1" x14ac:dyDescent="0.25">
      <c r="N3259" s="44"/>
      <c r="O3259" s="44"/>
      <c r="P3259" s="44"/>
      <c r="Q3259" s="44"/>
      <c r="R3259" s="44"/>
      <c r="S3259" s="44"/>
      <c r="T3259" s="44"/>
      <c r="U3259" s="44"/>
      <c r="V3259" s="44"/>
      <c r="W3259" s="44"/>
      <c r="X3259" s="44"/>
      <c r="Y3259" s="44"/>
    </row>
    <row r="3260" spans="14:25" ht="15" customHeight="1" x14ac:dyDescent="0.25">
      <c r="N3260" s="44"/>
      <c r="O3260" s="44"/>
      <c r="P3260" s="44"/>
      <c r="Q3260" s="44"/>
      <c r="R3260" s="44"/>
      <c r="S3260" s="44"/>
      <c r="T3260" s="44"/>
      <c r="U3260" s="44"/>
      <c r="V3260" s="44"/>
      <c r="W3260" s="44"/>
      <c r="X3260" s="44"/>
      <c r="Y3260" s="44"/>
    </row>
    <row r="3261" spans="14:25" ht="15" customHeight="1" x14ac:dyDescent="0.25">
      <c r="N3261" s="44"/>
      <c r="O3261" s="44"/>
      <c r="P3261" s="44"/>
      <c r="Q3261" s="44"/>
      <c r="R3261" s="44"/>
      <c r="S3261" s="44"/>
      <c r="T3261" s="44"/>
      <c r="U3261" s="44"/>
      <c r="V3261" s="44"/>
      <c r="W3261" s="44"/>
      <c r="X3261" s="44"/>
      <c r="Y3261" s="44"/>
    </row>
    <row r="3262" spans="14:25" ht="15" customHeight="1" x14ac:dyDescent="0.25">
      <c r="N3262" s="44"/>
      <c r="O3262" s="44"/>
      <c r="P3262" s="44"/>
      <c r="Q3262" s="44"/>
      <c r="R3262" s="44"/>
      <c r="S3262" s="44"/>
      <c r="T3262" s="44"/>
      <c r="U3262" s="44"/>
      <c r="V3262" s="44"/>
      <c r="W3262" s="44"/>
      <c r="X3262" s="44"/>
      <c r="Y3262" s="44"/>
    </row>
    <row r="3263" spans="14:25" ht="15" customHeight="1" x14ac:dyDescent="0.25">
      <c r="N3263" s="44"/>
      <c r="O3263" s="44"/>
      <c r="P3263" s="44"/>
      <c r="Q3263" s="44"/>
      <c r="R3263" s="44"/>
      <c r="S3263" s="44"/>
      <c r="T3263" s="44"/>
      <c r="U3263" s="44"/>
      <c r="V3263" s="44"/>
      <c r="W3263" s="44"/>
      <c r="X3263" s="44"/>
      <c r="Y3263" s="44"/>
    </row>
    <row r="3264" spans="14:25" ht="15" customHeight="1" x14ac:dyDescent="0.25">
      <c r="N3264" s="44"/>
      <c r="O3264" s="44"/>
      <c r="P3264" s="44"/>
      <c r="Q3264" s="44"/>
      <c r="R3264" s="44"/>
      <c r="S3264" s="44"/>
      <c r="T3264" s="44"/>
      <c r="U3264" s="44"/>
      <c r="V3264" s="44"/>
      <c r="W3264" s="44"/>
      <c r="X3264" s="44"/>
      <c r="Y3264" s="44"/>
    </row>
    <row r="3265" spans="14:25" ht="15" customHeight="1" x14ac:dyDescent="0.25">
      <c r="N3265" s="44"/>
      <c r="O3265" s="44"/>
      <c r="P3265" s="44"/>
      <c r="Q3265" s="44"/>
      <c r="R3265" s="44"/>
      <c r="S3265" s="44"/>
      <c r="T3265" s="44"/>
      <c r="U3265" s="44"/>
      <c r="V3265" s="44"/>
      <c r="W3265" s="44"/>
      <c r="X3265" s="44"/>
      <c r="Y3265" s="44"/>
    </row>
    <row r="3266" spans="14:25" ht="15" customHeight="1" x14ac:dyDescent="0.25">
      <c r="N3266" s="44"/>
      <c r="O3266" s="44"/>
      <c r="P3266" s="44"/>
      <c r="Q3266" s="44"/>
      <c r="R3266" s="44"/>
      <c r="S3266" s="44"/>
      <c r="T3266" s="44"/>
      <c r="U3266" s="44"/>
      <c r="V3266" s="44"/>
      <c r="W3266" s="44"/>
      <c r="X3266" s="44"/>
      <c r="Y3266" s="44"/>
    </row>
    <row r="3267" spans="14:25" ht="15" customHeight="1" x14ac:dyDescent="0.25">
      <c r="N3267" s="44"/>
      <c r="O3267" s="44"/>
      <c r="P3267" s="44"/>
      <c r="Q3267" s="44"/>
      <c r="R3267" s="44"/>
      <c r="S3267" s="44"/>
      <c r="T3267" s="44"/>
      <c r="U3267" s="44"/>
      <c r="V3267" s="44"/>
      <c r="W3267" s="44"/>
      <c r="X3267" s="44"/>
      <c r="Y3267" s="44"/>
    </row>
    <row r="3268" spans="14:25" ht="15" customHeight="1" x14ac:dyDescent="0.25">
      <c r="N3268" s="44"/>
      <c r="O3268" s="44"/>
      <c r="P3268" s="44"/>
      <c r="Q3268" s="44"/>
      <c r="R3268" s="44"/>
      <c r="S3268" s="44"/>
      <c r="T3268" s="44"/>
      <c r="U3268" s="44"/>
      <c r="V3268" s="44"/>
      <c r="W3268" s="44"/>
      <c r="X3268" s="44"/>
      <c r="Y3268" s="44"/>
    </row>
    <row r="3269" spans="14:25" ht="15" customHeight="1" x14ac:dyDescent="0.25">
      <c r="N3269" s="44"/>
      <c r="O3269" s="44"/>
      <c r="P3269" s="44"/>
      <c r="Q3269" s="44"/>
      <c r="R3269" s="44"/>
      <c r="S3269" s="44"/>
      <c r="T3269" s="44"/>
      <c r="U3269" s="44"/>
      <c r="V3269" s="44"/>
      <c r="W3269" s="44"/>
      <c r="X3269" s="44"/>
      <c r="Y3269" s="44"/>
    </row>
    <row r="3270" spans="14:25" ht="15" customHeight="1" x14ac:dyDescent="0.25">
      <c r="N3270" s="44"/>
      <c r="O3270" s="44"/>
      <c r="P3270" s="44"/>
      <c r="Q3270" s="44"/>
      <c r="R3270" s="44"/>
      <c r="S3270" s="44"/>
      <c r="T3270" s="44"/>
      <c r="U3270" s="44"/>
      <c r="V3270" s="44"/>
      <c r="W3270" s="44"/>
      <c r="X3270" s="44"/>
      <c r="Y3270" s="44"/>
    </row>
    <row r="3271" spans="14:25" ht="15" customHeight="1" x14ac:dyDescent="0.25">
      <c r="N3271" s="44"/>
      <c r="O3271" s="44"/>
      <c r="P3271" s="44"/>
      <c r="Q3271" s="44"/>
      <c r="R3271" s="44"/>
      <c r="S3271" s="44"/>
      <c r="T3271" s="44"/>
      <c r="U3271" s="44"/>
      <c r="V3271" s="44"/>
      <c r="W3271" s="44"/>
      <c r="X3271" s="44"/>
      <c r="Y3271" s="44"/>
    </row>
    <row r="3272" spans="14:25" ht="15" customHeight="1" x14ac:dyDescent="0.25">
      <c r="N3272" s="44"/>
      <c r="O3272" s="44"/>
      <c r="P3272" s="44"/>
      <c r="Q3272" s="44"/>
      <c r="R3272" s="44"/>
      <c r="S3272" s="44"/>
      <c r="T3272" s="44"/>
      <c r="U3272" s="44"/>
      <c r="V3272" s="44"/>
      <c r="W3272" s="44"/>
      <c r="X3272" s="44"/>
      <c r="Y3272" s="44"/>
    </row>
    <row r="3273" spans="14:25" ht="15" customHeight="1" x14ac:dyDescent="0.25">
      <c r="N3273" s="44"/>
      <c r="O3273" s="44"/>
      <c r="P3273" s="44"/>
      <c r="Q3273" s="44"/>
      <c r="R3273" s="44"/>
      <c r="S3273" s="44"/>
      <c r="T3273" s="44"/>
      <c r="U3273" s="44"/>
      <c r="V3273" s="44"/>
      <c r="W3273" s="44"/>
      <c r="X3273" s="44"/>
      <c r="Y3273" s="44"/>
    </row>
    <row r="3274" spans="14:25" ht="15" customHeight="1" x14ac:dyDescent="0.25">
      <c r="N3274" s="44"/>
      <c r="O3274" s="44"/>
      <c r="P3274" s="44"/>
      <c r="Q3274" s="44"/>
      <c r="R3274" s="44"/>
      <c r="S3274" s="44"/>
      <c r="T3274" s="44"/>
      <c r="U3274" s="44"/>
      <c r="V3274" s="44"/>
      <c r="W3274" s="44"/>
      <c r="X3274" s="44"/>
      <c r="Y3274" s="44"/>
    </row>
    <row r="3275" spans="14:25" ht="15" customHeight="1" x14ac:dyDescent="0.25">
      <c r="N3275" s="44"/>
      <c r="O3275" s="44"/>
      <c r="P3275" s="44"/>
      <c r="Q3275" s="44"/>
      <c r="R3275" s="44"/>
      <c r="S3275" s="44"/>
      <c r="T3275" s="44"/>
      <c r="U3275" s="44"/>
      <c r="V3275" s="44"/>
      <c r="W3275" s="44"/>
      <c r="X3275" s="44"/>
      <c r="Y3275" s="44"/>
    </row>
    <row r="3276" spans="14:25" ht="15" customHeight="1" x14ac:dyDescent="0.25">
      <c r="N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4"/>
      <c r="Y3276" s="44"/>
    </row>
    <row r="3277" spans="14:25" ht="15" customHeight="1" x14ac:dyDescent="0.25">
      <c r="N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44"/>
    </row>
    <row r="3278" spans="14:25" ht="15" customHeight="1" x14ac:dyDescent="0.25">
      <c r="N3278" s="44"/>
      <c r="O3278" s="44"/>
      <c r="P3278" s="44"/>
      <c r="Q3278" s="44"/>
      <c r="R3278" s="44"/>
      <c r="S3278" s="44"/>
      <c r="T3278" s="44"/>
      <c r="U3278" s="44"/>
      <c r="V3278" s="44"/>
      <c r="W3278" s="44"/>
      <c r="X3278" s="44"/>
      <c r="Y3278" s="44"/>
    </row>
    <row r="3279" spans="14:25" ht="15" customHeight="1" x14ac:dyDescent="0.25">
      <c r="N3279" s="44"/>
      <c r="O3279" s="44"/>
      <c r="P3279" s="44"/>
      <c r="Q3279" s="44"/>
      <c r="R3279" s="44"/>
      <c r="S3279" s="44"/>
      <c r="T3279" s="44"/>
      <c r="U3279" s="44"/>
      <c r="V3279" s="44"/>
      <c r="W3279" s="44"/>
      <c r="X3279" s="44"/>
      <c r="Y3279" s="44"/>
    </row>
    <row r="3280" spans="14:25" ht="15" customHeight="1" x14ac:dyDescent="0.25">
      <c r="N3280" s="44"/>
      <c r="O3280" s="44"/>
      <c r="P3280" s="44"/>
      <c r="Q3280" s="44"/>
      <c r="R3280" s="44"/>
      <c r="S3280" s="44"/>
      <c r="T3280" s="44"/>
      <c r="U3280" s="44"/>
      <c r="V3280" s="44"/>
      <c r="W3280" s="44"/>
      <c r="X3280" s="44"/>
      <c r="Y3280" s="44"/>
    </row>
    <row r="3281" spans="14:25" ht="15" customHeight="1" x14ac:dyDescent="0.25">
      <c r="N3281" s="44"/>
      <c r="O3281" s="44"/>
      <c r="P3281" s="44"/>
      <c r="Q3281" s="44"/>
      <c r="R3281" s="44"/>
      <c r="S3281" s="44"/>
      <c r="T3281" s="44"/>
      <c r="U3281" s="44"/>
      <c r="V3281" s="44"/>
      <c r="W3281" s="44"/>
      <c r="X3281" s="44"/>
      <c r="Y3281" s="44"/>
    </row>
    <row r="3282" spans="14:25" ht="15" customHeight="1" x14ac:dyDescent="0.25">
      <c r="N3282" s="44"/>
      <c r="O3282" s="44"/>
      <c r="P3282" s="44"/>
      <c r="Q3282" s="44"/>
      <c r="R3282" s="44"/>
      <c r="S3282" s="44"/>
      <c r="T3282" s="44"/>
      <c r="U3282" s="44"/>
      <c r="V3282" s="44"/>
      <c r="W3282" s="44"/>
      <c r="X3282" s="44"/>
      <c r="Y3282" s="44"/>
    </row>
    <row r="3283" spans="14:25" ht="15" customHeight="1" x14ac:dyDescent="0.25">
      <c r="N3283" s="44"/>
      <c r="O3283" s="44"/>
      <c r="P3283" s="44"/>
      <c r="Q3283" s="44"/>
      <c r="R3283" s="44"/>
      <c r="S3283" s="44"/>
      <c r="T3283" s="44"/>
      <c r="U3283" s="44"/>
      <c r="V3283" s="44"/>
      <c r="W3283" s="44"/>
      <c r="X3283" s="44"/>
      <c r="Y3283" s="44"/>
    </row>
    <row r="3284" spans="14:25" ht="15" customHeight="1" x14ac:dyDescent="0.25">
      <c r="N3284" s="44"/>
      <c r="O3284" s="44"/>
      <c r="P3284" s="44"/>
      <c r="Q3284" s="44"/>
      <c r="R3284" s="44"/>
      <c r="S3284" s="44"/>
      <c r="T3284" s="44"/>
      <c r="U3284" s="44"/>
      <c r="V3284" s="44"/>
      <c r="W3284" s="44"/>
      <c r="X3284" s="44"/>
      <c r="Y3284" s="44"/>
    </row>
    <row r="3285" spans="14:25" ht="15" customHeight="1" x14ac:dyDescent="0.25">
      <c r="N3285" s="44"/>
      <c r="O3285" s="44"/>
      <c r="P3285" s="44"/>
      <c r="Q3285" s="44"/>
      <c r="R3285" s="44"/>
      <c r="S3285" s="44"/>
      <c r="T3285" s="44"/>
      <c r="U3285" s="44"/>
      <c r="V3285" s="44"/>
      <c r="W3285" s="44"/>
      <c r="X3285" s="44"/>
      <c r="Y3285" s="44"/>
    </row>
    <row r="3286" spans="14:25" ht="15" customHeight="1" x14ac:dyDescent="0.25">
      <c r="N3286" s="44"/>
      <c r="O3286" s="44"/>
      <c r="P3286" s="44"/>
      <c r="Q3286" s="44"/>
      <c r="R3286" s="44"/>
      <c r="S3286" s="44"/>
      <c r="T3286" s="44"/>
      <c r="U3286" s="44"/>
      <c r="V3286" s="44"/>
      <c r="W3286" s="44"/>
      <c r="X3286" s="44"/>
      <c r="Y3286" s="44"/>
    </row>
    <row r="3287" spans="14:25" ht="15" customHeight="1" x14ac:dyDescent="0.25">
      <c r="N3287" s="44"/>
      <c r="O3287" s="44"/>
      <c r="P3287" s="44"/>
      <c r="Q3287" s="44"/>
      <c r="R3287" s="44"/>
      <c r="S3287" s="44"/>
      <c r="T3287" s="44"/>
      <c r="U3287" s="44"/>
      <c r="V3287" s="44"/>
      <c r="W3287" s="44"/>
      <c r="X3287" s="44"/>
      <c r="Y3287" s="44"/>
    </row>
    <row r="3288" spans="14:25" ht="15" customHeight="1" x14ac:dyDescent="0.25">
      <c r="N3288" s="44"/>
      <c r="O3288" s="44"/>
      <c r="P3288" s="44"/>
      <c r="Q3288" s="44"/>
      <c r="R3288" s="44"/>
      <c r="S3288" s="44"/>
      <c r="T3288" s="44"/>
      <c r="U3288" s="44"/>
      <c r="V3288" s="44"/>
      <c r="W3288" s="44"/>
      <c r="X3288" s="44"/>
      <c r="Y3288" s="44"/>
    </row>
    <row r="3289" spans="14:25" ht="15" customHeight="1" x14ac:dyDescent="0.25">
      <c r="N3289" s="44"/>
      <c r="O3289" s="44"/>
      <c r="P3289" s="44"/>
      <c r="Q3289" s="44"/>
      <c r="R3289" s="44"/>
      <c r="S3289" s="44"/>
      <c r="T3289" s="44"/>
      <c r="U3289" s="44"/>
      <c r="V3289" s="44"/>
      <c r="W3289" s="44"/>
      <c r="X3289" s="44"/>
      <c r="Y3289" s="44"/>
    </row>
    <row r="3290" spans="14:25" ht="15" customHeight="1" x14ac:dyDescent="0.25">
      <c r="N3290" s="44"/>
      <c r="O3290" s="44"/>
      <c r="P3290" s="44"/>
      <c r="Q3290" s="44"/>
      <c r="R3290" s="44"/>
      <c r="S3290" s="44"/>
      <c r="T3290" s="44"/>
      <c r="U3290" s="44"/>
      <c r="V3290" s="44"/>
      <c r="W3290" s="44"/>
      <c r="X3290" s="44"/>
      <c r="Y3290" s="44"/>
    </row>
    <row r="3291" spans="14:25" ht="15" customHeight="1" x14ac:dyDescent="0.25">
      <c r="N3291" s="44"/>
      <c r="O3291" s="44"/>
      <c r="P3291" s="44"/>
      <c r="Q3291" s="44"/>
      <c r="R3291" s="44"/>
      <c r="S3291" s="44"/>
      <c r="T3291" s="44"/>
      <c r="U3291" s="44"/>
      <c r="V3291" s="44"/>
      <c r="W3291" s="44"/>
      <c r="X3291" s="44"/>
      <c r="Y3291" s="44"/>
    </row>
    <row r="3292" spans="14:25" ht="15" customHeight="1" x14ac:dyDescent="0.25">
      <c r="N3292" s="44"/>
      <c r="O3292" s="44"/>
      <c r="P3292" s="44"/>
      <c r="Q3292" s="44"/>
      <c r="R3292" s="44"/>
      <c r="S3292" s="44"/>
      <c r="T3292" s="44"/>
      <c r="U3292" s="44"/>
      <c r="V3292" s="44"/>
      <c r="W3292" s="44"/>
      <c r="X3292" s="44"/>
      <c r="Y3292" s="44"/>
    </row>
    <row r="3293" spans="14:25" ht="15" customHeight="1" x14ac:dyDescent="0.25">
      <c r="N3293" s="44"/>
      <c r="O3293" s="44"/>
      <c r="P3293" s="44"/>
      <c r="Q3293" s="44"/>
      <c r="R3293" s="44"/>
      <c r="S3293" s="44"/>
      <c r="T3293" s="44"/>
      <c r="U3293" s="44"/>
      <c r="V3293" s="44"/>
      <c r="W3293" s="44"/>
      <c r="X3293" s="44"/>
      <c r="Y3293" s="44"/>
    </row>
    <row r="3294" spans="14:25" ht="15" customHeight="1" x14ac:dyDescent="0.25">
      <c r="N3294" s="44"/>
      <c r="O3294" s="44"/>
      <c r="P3294" s="44"/>
      <c r="Q3294" s="44"/>
      <c r="R3294" s="44"/>
      <c r="S3294" s="44"/>
      <c r="T3294" s="44"/>
      <c r="U3294" s="44"/>
      <c r="V3294" s="44"/>
      <c r="W3294" s="44"/>
      <c r="X3294" s="44"/>
      <c r="Y3294" s="44"/>
    </row>
    <row r="3295" spans="14:25" ht="15" customHeight="1" x14ac:dyDescent="0.25">
      <c r="N3295" s="44"/>
      <c r="O3295" s="44"/>
      <c r="P3295" s="44"/>
      <c r="Q3295" s="44"/>
      <c r="R3295" s="44"/>
      <c r="S3295" s="44"/>
      <c r="T3295" s="44"/>
      <c r="U3295" s="44"/>
      <c r="V3295" s="44"/>
      <c r="W3295" s="44"/>
      <c r="X3295" s="44"/>
      <c r="Y3295" s="44"/>
    </row>
    <row r="3296" spans="14:25" ht="15" customHeight="1" x14ac:dyDescent="0.25">
      <c r="N3296" s="44"/>
      <c r="O3296" s="44"/>
      <c r="P3296" s="44"/>
      <c r="Q3296" s="44"/>
      <c r="R3296" s="44"/>
      <c r="S3296" s="44"/>
      <c r="T3296" s="44"/>
      <c r="U3296" s="44"/>
      <c r="V3296" s="44"/>
      <c r="W3296" s="44"/>
      <c r="X3296" s="44"/>
      <c r="Y3296" s="44"/>
    </row>
    <row r="3297" spans="14:25" ht="15" customHeight="1" x14ac:dyDescent="0.25">
      <c r="N3297" s="44"/>
      <c r="O3297" s="44"/>
      <c r="P3297" s="44"/>
      <c r="Q3297" s="44"/>
      <c r="R3297" s="44"/>
      <c r="S3297" s="44"/>
      <c r="T3297" s="44"/>
      <c r="U3297" s="44"/>
      <c r="V3297" s="44"/>
      <c r="W3297" s="44"/>
      <c r="X3297" s="44"/>
      <c r="Y3297" s="44"/>
    </row>
    <row r="3298" spans="14:25" ht="15" customHeight="1" x14ac:dyDescent="0.25">
      <c r="N3298" s="44"/>
      <c r="O3298" s="44"/>
      <c r="P3298" s="44"/>
      <c r="Q3298" s="44"/>
      <c r="R3298" s="44"/>
      <c r="S3298" s="44"/>
      <c r="T3298" s="44"/>
      <c r="U3298" s="44"/>
      <c r="V3298" s="44"/>
      <c r="W3298" s="44"/>
      <c r="X3298" s="44"/>
      <c r="Y3298" s="44"/>
    </row>
    <row r="3299" spans="14:25" ht="15" customHeight="1" x14ac:dyDescent="0.25">
      <c r="N3299" s="44"/>
      <c r="O3299" s="44"/>
      <c r="P3299" s="44"/>
      <c r="Q3299" s="44"/>
      <c r="R3299" s="44"/>
      <c r="S3299" s="44"/>
      <c r="T3299" s="44"/>
      <c r="U3299" s="44"/>
      <c r="V3299" s="44"/>
      <c r="W3299" s="44"/>
      <c r="X3299" s="44"/>
      <c r="Y3299" s="44"/>
    </row>
    <row r="3300" spans="14:25" ht="15" customHeight="1" x14ac:dyDescent="0.25">
      <c r="N3300" s="44"/>
      <c r="O3300" s="44"/>
      <c r="P3300" s="44"/>
      <c r="Q3300" s="44"/>
      <c r="R3300" s="44"/>
      <c r="S3300" s="44"/>
      <c r="T3300" s="44"/>
      <c r="U3300" s="44"/>
      <c r="V3300" s="44"/>
      <c r="W3300" s="44"/>
      <c r="X3300" s="44"/>
      <c r="Y3300" s="44"/>
    </row>
    <row r="3301" spans="14:25" ht="15" customHeight="1" x14ac:dyDescent="0.25">
      <c r="N3301" s="44"/>
      <c r="O3301" s="44"/>
      <c r="P3301" s="44"/>
      <c r="Q3301" s="44"/>
      <c r="R3301" s="44"/>
      <c r="S3301" s="44"/>
      <c r="T3301" s="44"/>
      <c r="U3301" s="44"/>
      <c r="V3301" s="44"/>
      <c r="W3301" s="44"/>
      <c r="X3301" s="44"/>
      <c r="Y3301" s="44"/>
    </row>
    <row r="3302" spans="14:25" ht="15" customHeight="1" x14ac:dyDescent="0.25">
      <c r="N3302" s="44"/>
      <c r="O3302" s="44"/>
      <c r="P3302" s="44"/>
      <c r="Q3302" s="44"/>
      <c r="R3302" s="44"/>
      <c r="S3302" s="44"/>
      <c r="T3302" s="44"/>
      <c r="U3302" s="44"/>
      <c r="V3302" s="44"/>
      <c r="W3302" s="44"/>
      <c r="X3302" s="44"/>
      <c r="Y3302" s="44"/>
    </row>
    <row r="3303" spans="14:25" ht="15" customHeight="1" x14ac:dyDescent="0.25">
      <c r="N3303" s="44"/>
      <c r="O3303" s="44"/>
      <c r="P3303" s="44"/>
      <c r="Q3303" s="44"/>
      <c r="R3303" s="44"/>
      <c r="S3303" s="44"/>
      <c r="T3303" s="44"/>
      <c r="U3303" s="44"/>
      <c r="V3303" s="44"/>
      <c r="W3303" s="44"/>
      <c r="X3303" s="44"/>
      <c r="Y3303" s="44"/>
    </row>
    <row r="3304" spans="14:25" ht="15" customHeight="1" x14ac:dyDescent="0.25">
      <c r="N3304" s="44"/>
      <c r="O3304" s="44"/>
      <c r="P3304" s="44"/>
      <c r="Q3304" s="44"/>
      <c r="R3304" s="44"/>
      <c r="S3304" s="44"/>
      <c r="T3304" s="44"/>
      <c r="U3304" s="44"/>
      <c r="V3304" s="44"/>
      <c r="W3304" s="44"/>
      <c r="X3304" s="44"/>
      <c r="Y3304" s="44"/>
    </row>
    <row r="3305" spans="14:25" ht="15" customHeight="1" x14ac:dyDescent="0.25">
      <c r="N3305" s="44"/>
      <c r="O3305" s="44"/>
      <c r="P3305" s="44"/>
      <c r="Q3305" s="44"/>
      <c r="R3305" s="44"/>
      <c r="S3305" s="44"/>
      <c r="T3305" s="44"/>
      <c r="U3305" s="44"/>
      <c r="V3305" s="44"/>
      <c r="W3305" s="44"/>
      <c r="X3305" s="44"/>
      <c r="Y3305" s="44"/>
    </row>
    <row r="3306" spans="14:25" ht="15" customHeight="1" x14ac:dyDescent="0.25">
      <c r="N3306" s="44"/>
      <c r="O3306" s="44"/>
      <c r="P3306" s="44"/>
      <c r="Q3306" s="44"/>
      <c r="R3306" s="44"/>
      <c r="S3306" s="44"/>
      <c r="T3306" s="44"/>
      <c r="U3306" s="44"/>
      <c r="V3306" s="44"/>
      <c r="W3306" s="44"/>
      <c r="X3306" s="44"/>
      <c r="Y3306" s="44"/>
    </row>
    <row r="3307" spans="14:25" ht="15" customHeight="1" x14ac:dyDescent="0.25">
      <c r="N3307" s="44"/>
      <c r="O3307" s="44"/>
      <c r="P3307" s="44"/>
      <c r="Q3307" s="44"/>
      <c r="R3307" s="44"/>
      <c r="S3307" s="44"/>
      <c r="T3307" s="44"/>
      <c r="U3307" s="44"/>
      <c r="V3307" s="44"/>
      <c r="W3307" s="44"/>
      <c r="X3307" s="44"/>
      <c r="Y3307" s="44"/>
    </row>
    <row r="3308" spans="14:25" ht="15" customHeight="1" x14ac:dyDescent="0.25">
      <c r="N3308" s="44"/>
      <c r="O3308" s="44"/>
      <c r="P3308" s="44"/>
      <c r="Q3308" s="44"/>
      <c r="R3308" s="44"/>
      <c r="S3308" s="44"/>
      <c r="T3308" s="44"/>
      <c r="U3308" s="44"/>
      <c r="V3308" s="44"/>
      <c r="W3308" s="44"/>
      <c r="X3308" s="44"/>
      <c r="Y3308" s="44"/>
    </row>
    <row r="3309" spans="14:25" ht="15" customHeight="1" x14ac:dyDescent="0.25">
      <c r="N3309" s="44"/>
      <c r="O3309" s="44"/>
      <c r="P3309" s="44"/>
      <c r="Q3309" s="44"/>
      <c r="R3309" s="44"/>
      <c r="S3309" s="44"/>
      <c r="T3309" s="44"/>
      <c r="U3309" s="44"/>
      <c r="V3309" s="44"/>
      <c r="W3309" s="44"/>
      <c r="X3309" s="44"/>
      <c r="Y3309" s="44"/>
    </row>
    <row r="3310" spans="14:25" ht="15" customHeight="1" x14ac:dyDescent="0.25">
      <c r="N3310" s="44"/>
      <c r="O3310" s="44"/>
      <c r="P3310" s="44"/>
      <c r="Q3310" s="44"/>
      <c r="R3310" s="44"/>
      <c r="S3310" s="44"/>
      <c r="T3310" s="44"/>
      <c r="U3310" s="44"/>
      <c r="V3310" s="44"/>
      <c r="W3310" s="44"/>
      <c r="X3310" s="44"/>
      <c r="Y3310" s="44"/>
    </row>
    <row r="3311" spans="14:25" ht="15" customHeight="1" x14ac:dyDescent="0.25">
      <c r="N3311" s="44"/>
      <c r="O3311" s="44"/>
      <c r="P3311" s="44"/>
      <c r="Q3311" s="44"/>
      <c r="R3311" s="44"/>
      <c r="S3311" s="44"/>
      <c r="T3311" s="44"/>
      <c r="U3311" s="44"/>
      <c r="V3311" s="44"/>
      <c r="W3311" s="44"/>
      <c r="X3311" s="44"/>
      <c r="Y3311" s="44"/>
    </row>
    <row r="3312" spans="14:25" ht="15" customHeight="1" x14ac:dyDescent="0.25">
      <c r="N3312" s="44"/>
      <c r="O3312" s="44"/>
      <c r="P3312" s="44"/>
      <c r="Q3312" s="44"/>
      <c r="R3312" s="44"/>
      <c r="S3312" s="44"/>
      <c r="T3312" s="44"/>
      <c r="U3312" s="44"/>
      <c r="V3312" s="44"/>
      <c r="W3312" s="44"/>
      <c r="X3312" s="44"/>
      <c r="Y3312" s="44"/>
    </row>
    <row r="3313" spans="14:25" ht="15" customHeight="1" x14ac:dyDescent="0.25">
      <c r="N3313" s="44"/>
      <c r="O3313" s="44"/>
      <c r="P3313" s="44"/>
      <c r="Q3313" s="44"/>
      <c r="R3313" s="44"/>
      <c r="S3313" s="44"/>
      <c r="T3313" s="44"/>
      <c r="U3313" s="44"/>
      <c r="V3313" s="44"/>
      <c r="W3313" s="44"/>
      <c r="X3313" s="44"/>
      <c r="Y3313" s="44"/>
    </row>
    <row r="3314" spans="14:25" ht="15" customHeight="1" x14ac:dyDescent="0.25">
      <c r="N3314" s="44"/>
      <c r="O3314" s="44"/>
      <c r="P3314" s="44"/>
      <c r="Q3314" s="44"/>
      <c r="R3314" s="44"/>
      <c r="S3314" s="44"/>
      <c r="T3314" s="44"/>
      <c r="U3314" s="44"/>
      <c r="V3314" s="44"/>
      <c r="W3314" s="44"/>
      <c r="X3314" s="44"/>
      <c r="Y3314" s="44"/>
    </row>
    <row r="3315" spans="14:25" ht="15" customHeight="1" x14ac:dyDescent="0.25">
      <c r="N3315" s="44"/>
      <c r="O3315" s="44"/>
      <c r="P3315" s="44"/>
      <c r="Q3315" s="44"/>
      <c r="R3315" s="44"/>
      <c r="S3315" s="44"/>
      <c r="T3315" s="44"/>
      <c r="U3315" s="44"/>
      <c r="V3315" s="44"/>
      <c r="W3315" s="44"/>
      <c r="X3315" s="44"/>
      <c r="Y3315" s="44"/>
    </row>
    <row r="3316" spans="14:25" ht="15" customHeight="1" x14ac:dyDescent="0.25">
      <c r="N3316" s="44"/>
      <c r="O3316" s="44"/>
      <c r="P3316" s="44"/>
      <c r="Q3316" s="44"/>
      <c r="R3316" s="44"/>
      <c r="S3316" s="44"/>
      <c r="T3316" s="44"/>
      <c r="U3316" s="44"/>
      <c r="V3316" s="44"/>
      <c r="W3316" s="44"/>
      <c r="X3316" s="44"/>
      <c r="Y3316" s="44"/>
    </row>
    <row r="3317" spans="14:25" ht="15" customHeight="1" x14ac:dyDescent="0.25">
      <c r="N3317" s="44"/>
      <c r="O3317" s="44"/>
      <c r="P3317" s="44"/>
      <c r="Q3317" s="44"/>
      <c r="R3317" s="44"/>
      <c r="S3317" s="44"/>
      <c r="T3317" s="44"/>
      <c r="U3317" s="44"/>
      <c r="V3317" s="44"/>
      <c r="W3317" s="44"/>
      <c r="X3317" s="44"/>
      <c r="Y3317" s="44"/>
    </row>
    <row r="3318" spans="14:25" ht="15" customHeight="1" x14ac:dyDescent="0.25">
      <c r="N3318" s="44"/>
      <c r="O3318" s="44"/>
      <c r="P3318" s="44"/>
      <c r="Q3318" s="44"/>
      <c r="R3318" s="44"/>
      <c r="S3318" s="44"/>
      <c r="T3318" s="44"/>
      <c r="U3318" s="44"/>
      <c r="V3318" s="44"/>
      <c r="W3318" s="44"/>
      <c r="X3318" s="44"/>
      <c r="Y3318" s="44"/>
    </row>
    <row r="3319" spans="14:25" ht="15" customHeight="1" x14ac:dyDescent="0.25">
      <c r="N3319" s="44"/>
      <c r="O3319" s="44"/>
      <c r="P3319" s="44"/>
      <c r="Q3319" s="44"/>
      <c r="R3319" s="44"/>
      <c r="S3319" s="44"/>
      <c r="T3319" s="44"/>
      <c r="U3319" s="44"/>
      <c r="V3319" s="44"/>
      <c r="W3319" s="44"/>
      <c r="X3319" s="44"/>
      <c r="Y3319" s="44"/>
    </row>
    <row r="3320" spans="14:25" ht="15" customHeight="1" x14ac:dyDescent="0.25">
      <c r="N3320" s="44"/>
      <c r="O3320" s="44"/>
      <c r="P3320" s="44"/>
      <c r="Q3320" s="44"/>
      <c r="R3320" s="44"/>
      <c r="S3320" s="44"/>
      <c r="T3320" s="44"/>
      <c r="U3320" s="44"/>
      <c r="V3320" s="44"/>
      <c r="W3320" s="44"/>
      <c r="X3320" s="44"/>
      <c r="Y3320" s="44"/>
    </row>
    <row r="3321" spans="14:25" ht="15" customHeight="1" x14ac:dyDescent="0.25">
      <c r="N3321" s="44"/>
      <c r="O3321" s="44"/>
      <c r="P3321" s="44"/>
      <c r="Q3321" s="44"/>
      <c r="R3321" s="44"/>
      <c r="S3321" s="44"/>
      <c r="T3321" s="44"/>
      <c r="U3321" s="44"/>
      <c r="V3321" s="44"/>
      <c r="W3321" s="44"/>
      <c r="X3321" s="44"/>
      <c r="Y3321" s="44"/>
    </row>
    <row r="3322" spans="14:25" ht="15" customHeight="1" x14ac:dyDescent="0.25">
      <c r="N3322" s="44"/>
      <c r="O3322" s="44"/>
      <c r="P3322" s="44"/>
      <c r="Q3322" s="44"/>
      <c r="R3322" s="44"/>
      <c r="S3322" s="44"/>
      <c r="T3322" s="44"/>
      <c r="U3322" s="44"/>
      <c r="V3322" s="44"/>
      <c r="W3322" s="44"/>
      <c r="X3322" s="44"/>
      <c r="Y3322" s="44"/>
    </row>
    <row r="3323" spans="14:25" ht="15" customHeight="1" x14ac:dyDescent="0.25">
      <c r="N3323" s="44"/>
      <c r="O3323" s="44"/>
      <c r="P3323" s="44"/>
      <c r="Q3323" s="44"/>
      <c r="R3323" s="44"/>
      <c r="S3323" s="44"/>
      <c r="T3323" s="44"/>
      <c r="U3323" s="44"/>
      <c r="V3323" s="44"/>
      <c r="W3323" s="44"/>
      <c r="X3323" s="44"/>
      <c r="Y3323" s="44"/>
    </row>
    <row r="3324" spans="14:25" ht="15" customHeight="1" x14ac:dyDescent="0.25">
      <c r="N3324" s="44"/>
      <c r="O3324" s="44"/>
      <c r="P3324" s="44"/>
      <c r="Q3324" s="44"/>
      <c r="R3324" s="44"/>
      <c r="S3324" s="44"/>
      <c r="T3324" s="44"/>
      <c r="U3324" s="44"/>
      <c r="V3324" s="44"/>
      <c r="W3324" s="44"/>
      <c r="X3324" s="44"/>
      <c r="Y3324" s="44"/>
    </row>
    <row r="3325" spans="14:25" ht="15" customHeight="1" x14ac:dyDescent="0.25">
      <c r="N3325" s="44"/>
      <c r="O3325" s="44"/>
      <c r="P3325" s="44"/>
      <c r="Q3325" s="44"/>
      <c r="R3325" s="44"/>
      <c r="S3325" s="44"/>
      <c r="T3325" s="44"/>
      <c r="U3325" s="44"/>
      <c r="V3325" s="44"/>
      <c r="W3325" s="44"/>
      <c r="X3325" s="44"/>
      <c r="Y3325" s="44"/>
    </row>
    <row r="3326" spans="14:25" ht="15" customHeight="1" x14ac:dyDescent="0.25">
      <c r="N3326" s="44"/>
      <c r="O3326" s="44"/>
      <c r="P3326" s="44"/>
      <c r="Q3326" s="44"/>
      <c r="R3326" s="44"/>
      <c r="S3326" s="44"/>
      <c r="T3326" s="44"/>
      <c r="U3326" s="44"/>
      <c r="V3326" s="44"/>
      <c r="W3326" s="44"/>
      <c r="X3326" s="44"/>
      <c r="Y3326" s="44"/>
    </row>
    <row r="3327" spans="14:25" ht="15" customHeight="1" x14ac:dyDescent="0.25">
      <c r="N3327" s="44"/>
      <c r="O3327" s="44"/>
      <c r="P3327" s="44"/>
      <c r="Q3327" s="44"/>
      <c r="R3327" s="44"/>
      <c r="S3327" s="44"/>
      <c r="T3327" s="44"/>
      <c r="U3327" s="44"/>
      <c r="V3327" s="44"/>
      <c r="W3327" s="44"/>
      <c r="X3327" s="44"/>
      <c r="Y3327" s="44"/>
    </row>
    <row r="3328" spans="14:25" ht="15" customHeight="1" x14ac:dyDescent="0.25">
      <c r="N3328" s="44"/>
      <c r="O3328" s="44"/>
      <c r="P3328" s="44"/>
      <c r="Q3328" s="44"/>
      <c r="R3328" s="44"/>
      <c r="S3328" s="44"/>
      <c r="T3328" s="44"/>
      <c r="U3328" s="44"/>
      <c r="V3328" s="44"/>
      <c r="W3328" s="44"/>
      <c r="X3328" s="44"/>
      <c r="Y3328" s="44"/>
    </row>
    <row r="3329" spans="14:25" ht="15" customHeight="1" x14ac:dyDescent="0.25">
      <c r="N3329" s="44"/>
      <c r="O3329" s="44"/>
      <c r="P3329" s="44"/>
      <c r="Q3329" s="44"/>
      <c r="R3329" s="44"/>
      <c r="S3329" s="44"/>
      <c r="T3329" s="44"/>
      <c r="U3329" s="44"/>
      <c r="V3329" s="44"/>
      <c r="W3329" s="44"/>
      <c r="X3329" s="44"/>
      <c r="Y3329" s="44"/>
    </row>
    <row r="3330" spans="14:25" ht="15" customHeight="1" x14ac:dyDescent="0.25">
      <c r="N3330" s="44"/>
      <c r="O3330" s="44"/>
      <c r="P3330" s="44"/>
      <c r="Q3330" s="44"/>
      <c r="R3330" s="44"/>
      <c r="S3330" s="44"/>
      <c r="T3330" s="44"/>
      <c r="U3330" s="44"/>
      <c r="V3330" s="44"/>
      <c r="W3330" s="44"/>
      <c r="X3330" s="44"/>
      <c r="Y3330" s="44"/>
    </row>
    <row r="3331" spans="14:25" ht="15" customHeight="1" x14ac:dyDescent="0.25">
      <c r="N3331" s="44"/>
      <c r="O3331" s="44"/>
      <c r="P3331" s="44"/>
      <c r="Q3331" s="44"/>
      <c r="R3331" s="44"/>
      <c r="S3331" s="44"/>
      <c r="T3331" s="44"/>
      <c r="U3331" s="44"/>
      <c r="V3331" s="44"/>
      <c r="W3331" s="44"/>
      <c r="X3331" s="44"/>
      <c r="Y3331" s="44"/>
    </row>
    <row r="3332" spans="14:25" ht="15" customHeight="1" x14ac:dyDescent="0.25">
      <c r="N3332" s="44"/>
      <c r="O3332" s="44"/>
      <c r="P3332" s="44"/>
      <c r="Q3332" s="44"/>
      <c r="R3332" s="44"/>
      <c r="S3332" s="44"/>
      <c r="T3332" s="44"/>
      <c r="U3332" s="44"/>
      <c r="V3332" s="44"/>
      <c r="W3332" s="44"/>
      <c r="X3332" s="44"/>
      <c r="Y3332" s="44"/>
    </row>
    <row r="3333" spans="14:25" ht="15" customHeight="1" x14ac:dyDescent="0.25">
      <c r="N3333" s="44"/>
      <c r="O3333" s="44"/>
      <c r="P3333" s="44"/>
      <c r="Q3333" s="44"/>
      <c r="R3333" s="44"/>
      <c r="S3333" s="44"/>
      <c r="T3333" s="44"/>
      <c r="U3333" s="44"/>
      <c r="V3333" s="44"/>
      <c r="W3333" s="44"/>
      <c r="X3333" s="44"/>
      <c r="Y3333" s="44"/>
    </row>
    <row r="3334" spans="14:25" ht="15" customHeight="1" x14ac:dyDescent="0.25">
      <c r="N3334" s="44"/>
      <c r="O3334" s="44"/>
      <c r="P3334" s="44"/>
      <c r="Q3334" s="44"/>
      <c r="R3334" s="44"/>
      <c r="S3334" s="44"/>
      <c r="T3334" s="44"/>
      <c r="U3334" s="44"/>
      <c r="V3334" s="44"/>
      <c r="W3334" s="44"/>
      <c r="X3334" s="44"/>
      <c r="Y3334" s="44"/>
    </row>
    <row r="3335" spans="14:25" ht="15" customHeight="1" x14ac:dyDescent="0.25">
      <c r="N3335" s="44"/>
      <c r="O3335" s="44"/>
      <c r="P3335" s="44"/>
      <c r="Q3335" s="44"/>
      <c r="R3335" s="44"/>
      <c r="S3335" s="44"/>
      <c r="T3335" s="44"/>
      <c r="U3335" s="44"/>
      <c r="V3335" s="44"/>
      <c r="W3335" s="44"/>
      <c r="X3335" s="44"/>
      <c r="Y3335" s="44"/>
    </row>
    <row r="3336" spans="14:25" ht="15" customHeight="1" x14ac:dyDescent="0.25">
      <c r="N3336" s="44"/>
      <c r="O3336" s="44"/>
      <c r="P3336" s="44"/>
      <c r="Q3336" s="44"/>
      <c r="R3336" s="44"/>
      <c r="S3336" s="44"/>
      <c r="T3336" s="44"/>
      <c r="U3336" s="44"/>
      <c r="V3336" s="44"/>
      <c r="W3336" s="44"/>
      <c r="X3336" s="44"/>
      <c r="Y3336" s="44"/>
    </row>
    <row r="3337" spans="14:25" ht="15" customHeight="1" x14ac:dyDescent="0.25">
      <c r="N3337" s="44"/>
      <c r="O3337" s="44"/>
      <c r="P3337" s="44"/>
      <c r="Q3337" s="44"/>
      <c r="R3337" s="44"/>
      <c r="S3337" s="44"/>
      <c r="T3337" s="44"/>
      <c r="U3337" s="44"/>
      <c r="V3337" s="44"/>
      <c r="W3337" s="44"/>
      <c r="X3337" s="44"/>
      <c r="Y3337" s="44"/>
    </row>
    <row r="3338" spans="14:25" ht="15" customHeight="1" x14ac:dyDescent="0.25">
      <c r="N3338" s="44"/>
      <c r="O3338" s="44"/>
      <c r="P3338" s="44"/>
      <c r="Q3338" s="44"/>
      <c r="R3338" s="44"/>
      <c r="S3338" s="44"/>
      <c r="T3338" s="44"/>
      <c r="U3338" s="44"/>
      <c r="V3338" s="44"/>
      <c r="W3338" s="44"/>
      <c r="X3338" s="44"/>
      <c r="Y3338" s="44"/>
    </row>
    <row r="3339" spans="14:25" ht="15" customHeight="1" x14ac:dyDescent="0.25">
      <c r="N3339" s="44"/>
      <c r="O3339" s="44"/>
      <c r="P3339" s="44"/>
      <c r="Q3339" s="44"/>
      <c r="R3339" s="44"/>
      <c r="S3339" s="44"/>
      <c r="T3339" s="44"/>
      <c r="U3339" s="44"/>
      <c r="V3339" s="44"/>
      <c r="W3339" s="44"/>
      <c r="X3339" s="44"/>
      <c r="Y3339" s="44"/>
    </row>
    <row r="3340" spans="14:25" ht="15" customHeight="1" x14ac:dyDescent="0.25">
      <c r="N3340" s="44"/>
      <c r="O3340" s="44"/>
      <c r="P3340" s="44"/>
      <c r="Q3340" s="44"/>
      <c r="R3340" s="44"/>
      <c r="S3340" s="44"/>
      <c r="T3340" s="44"/>
      <c r="U3340" s="44"/>
      <c r="V3340" s="44"/>
      <c r="W3340" s="44"/>
      <c r="X3340" s="44"/>
      <c r="Y3340" s="44"/>
    </row>
    <row r="3341" spans="14:25" ht="15" customHeight="1" x14ac:dyDescent="0.25">
      <c r="N3341" s="44"/>
      <c r="O3341" s="44"/>
      <c r="P3341" s="44"/>
      <c r="Q3341" s="44"/>
      <c r="R3341" s="44"/>
      <c r="S3341" s="44"/>
      <c r="T3341" s="44"/>
      <c r="U3341" s="44"/>
      <c r="V3341" s="44"/>
      <c r="W3341" s="44"/>
      <c r="X3341" s="44"/>
      <c r="Y3341" s="44"/>
    </row>
    <row r="3342" spans="14:25" ht="15" customHeight="1" x14ac:dyDescent="0.25">
      <c r="N3342" s="44"/>
      <c r="O3342" s="44"/>
      <c r="P3342" s="44"/>
      <c r="Q3342" s="44"/>
      <c r="R3342" s="44"/>
      <c r="S3342" s="44"/>
      <c r="T3342" s="44"/>
      <c r="U3342" s="44"/>
      <c r="V3342" s="44"/>
      <c r="W3342" s="44"/>
      <c r="X3342" s="44"/>
      <c r="Y3342" s="44"/>
    </row>
    <row r="3343" spans="14:25" ht="15" customHeight="1" x14ac:dyDescent="0.25">
      <c r="N3343" s="44"/>
      <c r="O3343" s="44"/>
      <c r="P3343" s="44"/>
      <c r="Q3343" s="44"/>
      <c r="R3343" s="44"/>
      <c r="S3343" s="44"/>
      <c r="T3343" s="44"/>
      <c r="U3343" s="44"/>
      <c r="V3343" s="44"/>
      <c r="W3343" s="44"/>
      <c r="X3343" s="44"/>
      <c r="Y3343" s="44"/>
    </row>
    <row r="3344" spans="14:25" ht="15" customHeight="1" x14ac:dyDescent="0.25">
      <c r="N3344" s="44"/>
      <c r="O3344" s="44"/>
      <c r="P3344" s="44"/>
      <c r="Q3344" s="44"/>
      <c r="R3344" s="44"/>
      <c r="S3344" s="44"/>
      <c r="T3344" s="44"/>
      <c r="U3344" s="44"/>
      <c r="V3344" s="44"/>
      <c r="W3344" s="44"/>
      <c r="X3344" s="44"/>
      <c r="Y3344" s="44"/>
    </row>
    <row r="3345" spans="14:25" ht="15" customHeight="1" x14ac:dyDescent="0.25">
      <c r="N3345" s="44"/>
      <c r="O3345" s="44"/>
      <c r="P3345" s="44"/>
      <c r="Q3345" s="44"/>
      <c r="R3345" s="44"/>
      <c r="S3345" s="44"/>
      <c r="T3345" s="44"/>
      <c r="U3345" s="44"/>
      <c r="V3345" s="44"/>
      <c r="W3345" s="44"/>
      <c r="X3345" s="44"/>
      <c r="Y3345" s="44"/>
    </row>
    <row r="3346" spans="14:25" ht="15" customHeight="1" x14ac:dyDescent="0.25">
      <c r="N3346" s="44"/>
      <c r="O3346" s="44"/>
      <c r="P3346" s="44"/>
      <c r="Q3346" s="44"/>
      <c r="R3346" s="44"/>
      <c r="S3346" s="44"/>
      <c r="T3346" s="44"/>
      <c r="U3346" s="44"/>
      <c r="V3346" s="44"/>
      <c r="W3346" s="44"/>
      <c r="X3346" s="44"/>
      <c r="Y3346" s="44"/>
    </row>
    <row r="3347" spans="14:25" ht="15" customHeight="1" x14ac:dyDescent="0.25">
      <c r="N3347" s="44"/>
      <c r="O3347" s="44"/>
      <c r="P3347" s="44"/>
      <c r="Q3347" s="44"/>
      <c r="R3347" s="44"/>
      <c r="S3347" s="44"/>
      <c r="T3347" s="44"/>
      <c r="U3347" s="44"/>
      <c r="V3347" s="44"/>
      <c r="W3347" s="44"/>
      <c r="X3347" s="44"/>
      <c r="Y3347" s="44"/>
    </row>
    <row r="3348" spans="14:25" ht="15" customHeight="1" x14ac:dyDescent="0.25">
      <c r="N3348" s="44"/>
      <c r="O3348" s="44"/>
      <c r="P3348" s="44"/>
      <c r="Q3348" s="44"/>
      <c r="R3348" s="44"/>
      <c r="S3348" s="44"/>
      <c r="T3348" s="44"/>
      <c r="U3348" s="44"/>
      <c r="V3348" s="44"/>
      <c r="W3348" s="44"/>
      <c r="X3348" s="44"/>
      <c r="Y3348" s="44"/>
    </row>
    <row r="3349" spans="14:25" ht="15" customHeight="1" x14ac:dyDescent="0.25">
      <c r="N3349" s="44"/>
      <c r="O3349" s="44"/>
      <c r="P3349" s="44"/>
      <c r="Q3349" s="44"/>
      <c r="R3349" s="44"/>
      <c r="S3349" s="44"/>
      <c r="T3349" s="44"/>
      <c r="U3349" s="44"/>
      <c r="V3349" s="44"/>
      <c r="W3349" s="44"/>
      <c r="X3349" s="44"/>
      <c r="Y3349" s="44"/>
    </row>
    <row r="3350" spans="14:25" ht="15" customHeight="1" x14ac:dyDescent="0.25">
      <c r="N3350" s="44"/>
      <c r="O3350" s="44"/>
      <c r="P3350" s="44"/>
      <c r="Q3350" s="44"/>
      <c r="R3350" s="44"/>
      <c r="S3350" s="44"/>
      <c r="T3350" s="44"/>
      <c r="U3350" s="44"/>
      <c r="V3350" s="44"/>
      <c r="W3350" s="44"/>
      <c r="X3350" s="44"/>
      <c r="Y3350" s="44"/>
    </row>
    <row r="3351" spans="14:25" ht="15" customHeight="1" x14ac:dyDescent="0.25">
      <c r="N3351" s="44"/>
      <c r="O3351" s="44"/>
      <c r="P3351" s="44"/>
      <c r="Q3351" s="44"/>
      <c r="R3351" s="44"/>
      <c r="S3351" s="44"/>
      <c r="T3351" s="44"/>
      <c r="U3351" s="44"/>
      <c r="V3351" s="44"/>
      <c r="W3351" s="44"/>
      <c r="X3351" s="44"/>
      <c r="Y3351" s="44"/>
    </row>
    <row r="3352" spans="14:25" ht="15" customHeight="1" x14ac:dyDescent="0.25">
      <c r="N3352" s="44"/>
      <c r="O3352" s="44"/>
      <c r="P3352" s="44"/>
      <c r="Q3352" s="44"/>
      <c r="R3352" s="44"/>
      <c r="S3352" s="44"/>
      <c r="T3352" s="44"/>
      <c r="U3352" s="44"/>
      <c r="V3352" s="44"/>
      <c r="W3352" s="44"/>
      <c r="X3352" s="44"/>
      <c r="Y3352" s="44"/>
    </row>
    <row r="3353" spans="14:25" ht="15" customHeight="1" x14ac:dyDescent="0.25">
      <c r="N3353" s="44"/>
      <c r="O3353" s="44"/>
      <c r="P3353" s="44"/>
      <c r="Q3353" s="44"/>
      <c r="R3353" s="44"/>
      <c r="S3353" s="44"/>
      <c r="T3353" s="44"/>
      <c r="U3353" s="44"/>
      <c r="V3353" s="44"/>
      <c r="W3353" s="44"/>
      <c r="X3353" s="44"/>
      <c r="Y3353" s="44"/>
    </row>
    <row r="3354" spans="14:25" ht="15" customHeight="1" x14ac:dyDescent="0.25">
      <c r="N3354" s="44"/>
      <c r="O3354" s="44"/>
      <c r="P3354" s="44"/>
      <c r="Q3354" s="44"/>
      <c r="R3354" s="44"/>
      <c r="S3354" s="44"/>
      <c r="T3354" s="44"/>
      <c r="U3354" s="44"/>
      <c r="V3354" s="44"/>
      <c r="W3354" s="44"/>
      <c r="X3354" s="44"/>
      <c r="Y3354" s="44"/>
    </row>
    <row r="3355" spans="14:25" ht="15" customHeight="1" x14ac:dyDescent="0.25">
      <c r="N3355" s="44"/>
      <c r="O3355" s="44"/>
      <c r="P3355" s="44"/>
      <c r="Q3355" s="44"/>
      <c r="R3355" s="44"/>
      <c r="S3355" s="44"/>
      <c r="T3355" s="44"/>
      <c r="U3355" s="44"/>
      <c r="V3355" s="44"/>
      <c r="W3355" s="44"/>
      <c r="X3355" s="44"/>
      <c r="Y3355" s="44"/>
    </row>
    <row r="3356" spans="14:25" ht="15" customHeight="1" x14ac:dyDescent="0.25">
      <c r="N3356" s="44"/>
      <c r="O3356" s="44"/>
      <c r="P3356" s="44"/>
      <c r="Q3356" s="44"/>
      <c r="R3356" s="44"/>
      <c r="S3356" s="44"/>
      <c r="T3356" s="44"/>
      <c r="U3356" s="44"/>
      <c r="V3356" s="44"/>
      <c r="W3356" s="44"/>
      <c r="X3356" s="44"/>
      <c r="Y3356" s="44"/>
    </row>
    <row r="3357" spans="14:25" ht="15" customHeight="1" x14ac:dyDescent="0.25">
      <c r="N3357" s="44"/>
      <c r="O3357" s="44"/>
      <c r="P3357" s="44"/>
      <c r="Q3357" s="44"/>
      <c r="R3357" s="44"/>
      <c r="S3357" s="44"/>
      <c r="T3357" s="44"/>
      <c r="U3357" s="44"/>
      <c r="V3357" s="44"/>
      <c r="W3357" s="44"/>
      <c r="X3357" s="44"/>
      <c r="Y3357" s="44"/>
    </row>
    <row r="3358" spans="14:25" ht="15" customHeight="1" x14ac:dyDescent="0.25">
      <c r="N3358" s="44"/>
      <c r="O3358" s="44"/>
      <c r="P3358" s="44"/>
      <c r="Q3358" s="44"/>
      <c r="R3358" s="44"/>
      <c r="S3358" s="44"/>
      <c r="T3358" s="44"/>
      <c r="U3358" s="44"/>
      <c r="V3358" s="44"/>
      <c r="W3358" s="44"/>
      <c r="X3358" s="44"/>
      <c r="Y3358" s="44"/>
    </row>
    <row r="3359" spans="14:25" ht="15" customHeight="1" x14ac:dyDescent="0.25">
      <c r="N3359" s="44"/>
      <c r="O3359" s="44"/>
      <c r="P3359" s="44"/>
      <c r="Q3359" s="44"/>
      <c r="R3359" s="44"/>
      <c r="S3359" s="44"/>
      <c r="T3359" s="44"/>
      <c r="U3359" s="44"/>
      <c r="V3359" s="44"/>
      <c r="W3359" s="44"/>
      <c r="X3359" s="44"/>
      <c r="Y3359" s="44"/>
    </row>
    <row r="3360" spans="14:25" ht="15" customHeight="1" x14ac:dyDescent="0.25">
      <c r="N3360" s="44"/>
      <c r="O3360" s="44"/>
      <c r="P3360" s="44"/>
      <c r="Q3360" s="44"/>
      <c r="R3360" s="44"/>
      <c r="S3360" s="44"/>
      <c r="T3360" s="44"/>
      <c r="U3360" s="44"/>
      <c r="V3360" s="44"/>
      <c r="W3360" s="44"/>
      <c r="X3360" s="44"/>
      <c r="Y3360" s="44"/>
    </row>
    <row r="3361" spans="14:25" ht="15" customHeight="1" x14ac:dyDescent="0.25">
      <c r="N3361" s="44"/>
      <c r="O3361" s="44"/>
      <c r="P3361" s="44"/>
      <c r="Q3361" s="44"/>
      <c r="R3361" s="44"/>
      <c r="S3361" s="44"/>
      <c r="T3361" s="44"/>
      <c r="U3361" s="44"/>
      <c r="V3361" s="44"/>
      <c r="W3361" s="44"/>
      <c r="X3361" s="44"/>
      <c r="Y3361" s="44"/>
    </row>
    <row r="3362" spans="14:25" ht="15" customHeight="1" x14ac:dyDescent="0.25">
      <c r="N3362" s="44"/>
      <c r="O3362" s="44"/>
      <c r="P3362" s="44"/>
      <c r="Q3362" s="44"/>
      <c r="R3362" s="44"/>
      <c r="S3362" s="44"/>
      <c r="T3362" s="44"/>
      <c r="U3362" s="44"/>
      <c r="V3362" s="44"/>
      <c r="W3362" s="44"/>
      <c r="X3362" s="44"/>
      <c r="Y3362" s="44"/>
    </row>
    <row r="3363" spans="14:25" ht="15" customHeight="1" x14ac:dyDescent="0.25">
      <c r="N3363" s="44"/>
      <c r="O3363" s="44"/>
      <c r="P3363" s="44"/>
      <c r="Q3363" s="44"/>
      <c r="R3363" s="44"/>
      <c r="S3363" s="44"/>
      <c r="T3363" s="44"/>
      <c r="U3363" s="44"/>
      <c r="V3363" s="44"/>
      <c r="W3363" s="44"/>
      <c r="X3363" s="44"/>
      <c r="Y3363" s="44"/>
    </row>
    <row r="3364" spans="14:25" ht="15" customHeight="1" x14ac:dyDescent="0.25">
      <c r="N3364" s="44"/>
      <c r="O3364" s="44"/>
      <c r="P3364" s="44"/>
      <c r="Q3364" s="44"/>
      <c r="R3364" s="44"/>
      <c r="S3364" s="44"/>
      <c r="T3364" s="44"/>
      <c r="U3364" s="44"/>
      <c r="V3364" s="44"/>
      <c r="W3364" s="44"/>
      <c r="X3364" s="44"/>
      <c r="Y3364" s="44"/>
    </row>
    <row r="3365" spans="14:25" ht="15" customHeight="1" x14ac:dyDescent="0.25">
      <c r="N3365" s="44"/>
      <c r="O3365" s="44"/>
      <c r="P3365" s="44"/>
      <c r="Q3365" s="44"/>
      <c r="R3365" s="44"/>
      <c r="S3365" s="44"/>
      <c r="T3365" s="44"/>
      <c r="U3365" s="44"/>
      <c r="V3365" s="44"/>
      <c r="W3365" s="44"/>
      <c r="X3365" s="44"/>
      <c r="Y3365" s="44"/>
    </row>
    <row r="3366" spans="14:25" ht="15" customHeight="1" x14ac:dyDescent="0.25">
      <c r="N3366" s="44"/>
      <c r="O3366" s="44"/>
      <c r="P3366" s="44"/>
      <c r="Q3366" s="44"/>
      <c r="R3366" s="44"/>
      <c r="S3366" s="44"/>
      <c r="T3366" s="44"/>
      <c r="U3366" s="44"/>
      <c r="V3366" s="44"/>
      <c r="W3366" s="44"/>
      <c r="X3366" s="44"/>
      <c r="Y3366" s="44"/>
    </row>
    <row r="3367" spans="14:25" ht="15" customHeight="1" x14ac:dyDescent="0.25">
      <c r="N3367" s="44"/>
      <c r="O3367" s="44"/>
      <c r="P3367" s="44"/>
      <c r="Q3367" s="44"/>
      <c r="R3367" s="44"/>
      <c r="S3367" s="44"/>
      <c r="T3367" s="44"/>
      <c r="U3367" s="44"/>
      <c r="V3367" s="44"/>
      <c r="W3367" s="44"/>
      <c r="X3367" s="44"/>
      <c r="Y3367" s="44"/>
    </row>
    <row r="3368" spans="14:25" ht="15" customHeight="1" x14ac:dyDescent="0.25">
      <c r="N3368" s="44"/>
      <c r="O3368" s="44"/>
      <c r="P3368" s="44"/>
      <c r="Q3368" s="44"/>
      <c r="R3368" s="44"/>
      <c r="S3368" s="44"/>
      <c r="T3368" s="44"/>
      <c r="U3368" s="44"/>
      <c r="V3368" s="44"/>
      <c r="W3368" s="44"/>
      <c r="X3368" s="44"/>
      <c r="Y3368" s="44"/>
    </row>
    <row r="3369" spans="14:25" ht="15" customHeight="1" x14ac:dyDescent="0.25">
      <c r="N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4"/>
      <c r="Y3369" s="44"/>
    </row>
    <row r="3370" spans="14:25" ht="15" customHeight="1" x14ac:dyDescent="0.25">
      <c r="N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44"/>
    </row>
    <row r="3371" spans="14:25" ht="15" customHeight="1" x14ac:dyDescent="0.25">
      <c r="N3371" s="44"/>
      <c r="O3371" s="44"/>
      <c r="P3371" s="44"/>
      <c r="Q3371" s="44"/>
      <c r="R3371" s="44"/>
      <c r="S3371" s="44"/>
      <c r="T3371" s="44"/>
      <c r="U3371" s="44"/>
      <c r="V3371" s="44"/>
      <c r="W3371" s="44"/>
      <c r="X3371" s="44"/>
      <c r="Y3371" s="44"/>
    </row>
    <row r="3372" spans="14:25" ht="15" customHeight="1" x14ac:dyDescent="0.25">
      <c r="N3372" s="44"/>
      <c r="O3372" s="44"/>
      <c r="P3372" s="44"/>
      <c r="Q3372" s="44"/>
      <c r="R3372" s="44"/>
      <c r="S3372" s="44"/>
      <c r="T3372" s="44"/>
      <c r="U3372" s="44"/>
      <c r="V3372" s="44"/>
      <c r="W3372" s="44"/>
      <c r="X3372" s="44"/>
      <c r="Y3372" s="44"/>
    </row>
    <row r="3373" spans="14:25" ht="15" customHeight="1" x14ac:dyDescent="0.25">
      <c r="N3373" s="44"/>
      <c r="O3373" s="44"/>
      <c r="P3373" s="44"/>
      <c r="Q3373" s="44"/>
      <c r="R3373" s="44"/>
      <c r="S3373" s="44"/>
      <c r="T3373" s="44"/>
      <c r="U3373" s="44"/>
      <c r="V3373" s="44"/>
      <c r="W3373" s="44"/>
      <c r="X3373" s="44"/>
      <c r="Y3373" s="44"/>
    </row>
    <row r="3374" spans="14:25" ht="15" customHeight="1" x14ac:dyDescent="0.25">
      <c r="N3374" s="44"/>
      <c r="O3374" s="44"/>
      <c r="P3374" s="44"/>
      <c r="Q3374" s="44"/>
      <c r="R3374" s="44"/>
      <c r="S3374" s="44"/>
      <c r="T3374" s="44"/>
      <c r="U3374" s="44"/>
      <c r="V3374" s="44"/>
      <c r="W3374" s="44"/>
      <c r="X3374" s="44"/>
      <c r="Y3374" s="44"/>
    </row>
    <row r="3375" spans="14:25" ht="15" customHeight="1" x14ac:dyDescent="0.25">
      <c r="N3375" s="44"/>
      <c r="O3375" s="44"/>
      <c r="P3375" s="44"/>
      <c r="Q3375" s="44"/>
      <c r="R3375" s="44"/>
      <c r="S3375" s="44"/>
      <c r="T3375" s="44"/>
      <c r="U3375" s="44"/>
      <c r="V3375" s="44"/>
      <c r="W3375" s="44"/>
      <c r="X3375" s="44"/>
      <c r="Y3375" s="44"/>
    </row>
    <row r="3376" spans="14:25" ht="15" customHeight="1" x14ac:dyDescent="0.25">
      <c r="N3376" s="44"/>
      <c r="O3376" s="44"/>
      <c r="P3376" s="44"/>
      <c r="Q3376" s="44"/>
      <c r="R3376" s="44"/>
      <c r="S3376" s="44"/>
      <c r="T3376" s="44"/>
      <c r="U3376" s="44"/>
      <c r="V3376" s="44"/>
      <c r="W3376" s="44"/>
      <c r="X3376" s="44"/>
      <c r="Y3376" s="44"/>
    </row>
    <row r="3377" spans="14:25" ht="15" customHeight="1" x14ac:dyDescent="0.25">
      <c r="N3377" s="44"/>
      <c r="O3377" s="44"/>
      <c r="P3377" s="44"/>
      <c r="Q3377" s="44"/>
      <c r="R3377" s="44"/>
      <c r="S3377" s="44"/>
      <c r="T3377" s="44"/>
      <c r="U3377" s="44"/>
      <c r="V3377" s="44"/>
      <c r="W3377" s="44"/>
      <c r="X3377" s="44"/>
      <c r="Y3377" s="44"/>
    </row>
    <row r="3378" spans="14:25" ht="15" customHeight="1" x14ac:dyDescent="0.25">
      <c r="N3378" s="44"/>
      <c r="O3378" s="44"/>
      <c r="P3378" s="44"/>
      <c r="Q3378" s="44"/>
      <c r="R3378" s="44"/>
      <c r="S3378" s="44"/>
      <c r="T3378" s="44"/>
      <c r="U3378" s="44"/>
      <c r="V3378" s="44"/>
      <c r="W3378" s="44"/>
      <c r="X3378" s="44"/>
      <c r="Y3378" s="44"/>
    </row>
    <row r="3379" spans="14:25" ht="15" customHeight="1" x14ac:dyDescent="0.25">
      <c r="N3379" s="44"/>
      <c r="O3379" s="44"/>
      <c r="P3379" s="44"/>
      <c r="Q3379" s="44"/>
      <c r="R3379" s="44"/>
      <c r="S3379" s="44"/>
      <c r="T3379" s="44"/>
      <c r="U3379" s="44"/>
      <c r="V3379" s="44"/>
      <c r="W3379" s="44"/>
      <c r="X3379" s="44"/>
      <c r="Y3379" s="44"/>
    </row>
    <row r="3380" spans="14:25" ht="15" customHeight="1" x14ac:dyDescent="0.25">
      <c r="N3380" s="44"/>
      <c r="O3380" s="44"/>
      <c r="P3380" s="44"/>
      <c r="Q3380" s="44"/>
      <c r="R3380" s="44"/>
      <c r="S3380" s="44"/>
      <c r="T3380" s="44"/>
      <c r="U3380" s="44"/>
      <c r="V3380" s="44"/>
      <c r="W3380" s="44"/>
      <c r="X3380" s="44"/>
      <c r="Y3380" s="44"/>
    </row>
    <row r="3381" spans="14:25" ht="15" customHeight="1" x14ac:dyDescent="0.25">
      <c r="N3381" s="44"/>
      <c r="O3381" s="44"/>
      <c r="P3381" s="44"/>
      <c r="Q3381" s="44"/>
      <c r="R3381" s="44"/>
      <c r="S3381" s="44"/>
      <c r="T3381" s="44"/>
      <c r="U3381" s="44"/>
      <c r="V3381" s="44"/>
      <c r="W3381" s="44"/>
      <c r="X3381" s="44"/>
      <c r="Y3381" s="44"/>
    </row>
    <row r="3382" spans="14:25" ht="15" customHeight="1" x14ac:dyDescent="0.25">
      <c r="N3382" s="44"/>
      <c r="O3382" s="44"/>
      <c r="P3382" s="44"/>
      <c r="Q3382" s="44"/>
      <c r="R3382" s="44"/>
      <c r="S3382" s="44"/>
      <c r="T3382" s="44"/>
      <c r="U3382" s="44"/>
      <c r="V3382" s="44"/>
      <c r="W3382" s="44"/>
      <c r="X3382" s="44"/>
      <c r="Y3382" s="44"/>
    </row>
    <row r="3383" spans="14:25" ht="15" customHeight="1" x14ac:dyDescent="0.25">
      <c r="N3383" s="44"/>
      <c r="O3383" s="44"/>
      <c r="P3383" s="44"/>
      <c r="Q3383" s="44"/>
      <c r="R3383" s="44"/>
      <c r="S3383" s="44"/>
      <c r="T3383" s="44"/>
      <c r="U3383" s="44"/>
      <c r="V3383" s="44"/>
      <c r="W3383" s="44"/>
      <c r="X3383" s="44"/>
      <c r="Y3383" s="44"/>
    </row>
    <row r="3384" spans="14:25" ht="15" customHeight="1" x14ac:dyDescent="0.25">
      <c r="N3384" s="44"/>
      <c r="O3384" s="44"/>
      <c r="P3384" s="44"/>
      <c r="Q3384" s="44"/>
      <c r="R3384" s="44"/>
      <c r="S3384" s="44"/>
      <c r="T3384" s="44"/>
      <c r="U3384" s="44"/>
      <c r="V3384" s="44"/>
      <c r="W3384" s="44"/>
      <c r="X3384" s="44"/>
      <c r="Y3384" s="44"/>
    </row>
    <row r="3385" spans="14:25" ht="15" customHeight="1" x14ac:dyDescent="0.25">
      <c r="N3385" s="44"/>
      <c r="O3385" s="44"/>
      <c r="P3385" s="44"/>
      <c r="Q3385" s="44"/>
      <c r="R3385" s="44"/>
      <c r="S3385" s="44"/>
      <c r="T3385" s="44"/>
      <c r="U3385" s="44"/>
      <c r="V3385" s="44"/>
      <c r="W3385" s="44"/>
      <c r="X3385" s="44"/>
      <c r="Y3385" s="44"/>
    </row>
    <row r="3386" spans="14:25" ht="15" customHeight="1" x14ac:dyDescent="0.25">
      <c r="N3386" s="44"/>
      <c r="O3386" s="44"/>
      <c r="P3386" s="44"/>
      <c r="Q3386" s="44"/>
      <c r="R3386" s="44"/>
      <c r="S3386" s="44"/>
      <c r="T3386" s="44"/>
      <c r="U3386" s="44"/>
      <c r="V3386" s="44"/>
      <c r="W3386" s="44"/>
      <c r="X3386" s="44"/>
      <c r="Y3386" s="44"/>
    </row>
    <row r="3387" spans="14:25" ht="15" customHeight="1" x14ac:dyDescent="0.25">
      <c r="N3387" s="44"/>
      <c r="O3387" s="44"/>
      <c r="P3387" s="44"/>
      <c r="Q3387" s="44"/>
      <c r="R3387" s="44"/>
      <c r="S3387" s="44"/>
      <c r="T3387" s="44"/>
      <c r="U3387" s="44"/>
      <c r="V3387" s="44"/>
      <c r="W3387" s="44"/>
      <c r="X3387" s="44"/>
      <c r="Y3387" s="44"/>
    </row>
    <row r="3388" spans="14:25" ht="15" customHeight="1" x14ac:dyDescent="0.25">
      <c r="N3388" s="44"/>
      <c r="O3388" s="44"/>
      <c r="P3388" s="44"/>
      <c r="Q3388" s="44"/>
      <c r="R3388" s="44"/>
      <c r="S3388" s="44"/>
      <c r="T3388" s="44"/>
      <c r="U3388" s="44"/>
      <c r="V3388" s="44"/>
      <c r="W3388" s="44"/>
      <c r="X3388" s="44"/>
      <c r="Y3388" s="44"/>
    </row>
    <row r="3389" spans="14:25" ht="15" customHeight="1" x14ac:dyDescent="0.25">
      <c r="N3389" s="44"/>
      <c r="O3389" s="44"/>
      <c r="P3389" s="44"/>
      <c r="Q3389" s="44"/>
      <c r="R3389" s="44"/>
      <c r="S3389" s="44"/>
      <c r="T3389" s="44"/>
      <c r="U3389" s="44"/>
      <c r="V3389" s="44"/>
      <c r="W3389" s="44"/>
      <c r="X3389" s="44"/>
      <c r="Y3389" s="44"/>
    </row>
    <row r="3390" spans="14:25" ht="15" customHeight="1" x14ac:dyDescent="0.25">
      <c r="N3390" s="44"/>
      <c r="O3390" s="44"/>
      <c r="P3390" s="44"/>
      <c r="Q3390" s="44"/>
      <c r="R3390" s="44"/>
      <c r="S3390" s="44"/>
      <c r="T3390" s="44"/>
      <c r="U3390" s="44"/>
      <c r="V3390" s="44"/>
      <c r="W3390" s="44"/>
      <c r="X3390" s="44"/>
      <c r="Y3390" s="44"/>
    </row>
    <row r="3391" spans="14:25" ht="15" customHeight="1" x14ac:dyDescent="0.25">
      <c r="N3391" s="44"/>
      <c r="O3391" s="44"/>
      <c r="P3391" s="44"/>
      <c r="Q3391" s="44"/>
      <c r="R3391" s="44"/>
      <c r="S3391" s="44"/>
      <c r="T3391" s="44"/>
      <c r="U3391" s="44"/>
      <c r="V3391" s="44"/>
      <c r="W3391" s="44"/>
      <c r="X3391" s="44"/>
      <c r="Y3391" s="44"/>
    </row>
    <row r="3392" spans="14:25" ht="15" customHeight="1" x14ac:dyDescent="0.25">
      <c r="N3392" s="44"/>
      <c r="O3392" s="44"/>
      <c r="P3392" s="44"/>
      <c r="Q3392" s="44"/>
      <c r="R3392" s="44"/>
      <c r="S3392" s="44"/>
      <c r="T3392" s="44"/>
      <c r="U3392" s="44"/>
      <c r="V3392" s="44"/>
      <c r="W3392" s="44"/>
      <c r="X3392" s="44"/>
      <c r="Y3392" s="44"/>
    </row>
    <row r="3393" spans="14:25" ht="15" customHeight="1" x14ac:dyDescent="0.25">
      <c r="N3393" s="44"/>
      <c r="O3393" s="44"/>
      <c r="P3393" s="44"/>
      <c r="Q3393" s="44"/>
      <c r="R3393" s="44"/>
      <c r="S3393" s="44"/>
      <c r="T3393" s="44"/>
      <c r="U3393" s="44"/>
      <c r="V3393" s="44"/>
      <c r="W3393" s="44"/>
      <c r="X3393" s="44"/>
      <c r="Y3393" s="44"/>
    </row>
    <row r="3394" spans="14:25" ht="15" customHeight="1" x14ac:dyDescent="0.25">
      <c r="N3394" s="44"/>
      <c r="O3394" s="44"/>
      <c r="P3394" s="44"/>
      <c r="Q3394" s="44"/>
      <c r="R3394" s="44"/>
      <c r="S3394" s="44"/>
      <c r="T3394" s="44"/>
      <c r="U3394" s="44"/>
      <c r="V3394" s="44"/>
      <c r="W3394" s="44"/>
      <c r="X3394" s="44"/>
      <c r="Y3394" s="44"/>
    </row>
    <row r="3395" spans="14:25" ht="15" customHeight="1" x14ac:dyDescent="0.25">
      <c r="N3395" s="44"/>
      <c r="O3395" s="44"/>
      <c r="P3395" s="44"/>
      <c r="Q3395" s="44"/>
      <c r="R3395" s="44"/>
      <c r="S3395" s="44"/>
      <c r="T3395" s="44"/>
      <c r="U3395" s="44"/>
      <c r="V3395" s="44"/>
      <c r="W3395" s="44"/>
      <c r="X3395" s="44"/>
      <c r="Y3395" s="44"/>
    </row>
    <row r="3396" spans="14:25" ht="15" customHeight="1" x14ac:dyDescent="0.25">
      <c r="N3396" s="44"/>
      <c r="O3396" s="44"/>
      <c r="P3396" s="44"/>
      <c r="Q3396" s="44"/>
      <c r="R3396" s="44"/>
      <c r="S3396" s="44"/>
      <c r="T3396" s="44"/>
      <c r="U3396" s="44"/>
      <c r="V3396" s="44"/>
      <c r="W3396" s="44"/>
      <c r="X3396" s="44"/>
      <c r="Y3396" s="44"/>
    </row>
    <row r="3397" spans="14:25" ht="15" customHeight="1" x14ac:dyDescent="0.25">
      <c r="N3397" s="44"/>
      <c r="O3397" s="44"/>
      <c r="P3397" s="44"/>
      <c r="Q3397" s="44"/>
      <c r="R3397" s="44"/>
      <c r="S3397" s="44"/>
      <c r="T3397" s="44"/>
      <c r="U3397" s="44"/>
      <c r="V3397" s="44"/>
      <c r="W3397" s="44"/>
      <c r="X3397" s="44"/>
      <c r="Y3397" s="44"/>
    </row>
    <row r="3398" spans="14:25" ht="15" customHeight="1" x14ac:dyDescent="0.25">
      <c r="N3398" s="44"/>
      <c r="O3398" s="44"/>
      <c r="P3398" s="44"/>
      <c r="Q3398" s="44"/>
      <c r="R3398" s="44"/>
      <c r="S3398" s="44"/>
      <c r="T3398" s="44"/>
      <c r="U3398" s="44"/>
      <c r="V3398" s="44"/>
      <c r="W3398" s="44"/>
      <c r="X3398" s="44"/>
      <c r="Y3398" s="44"/>
    </row>
    <row r="3399" spans="14:25" ht="15" customHeight="1" x14ac:dyDescent="0.25">
      <c r="N3399" s="44"/>
      <c r="O3399" s="44"/>
      <c r="P3399" s="44"/>
      <c r="Q3399" s="44"/>
      <c r="R3399" s="44"/>
      <c r="S3399" s="44"/>
      <c r="T3399" s="44"/>
      <c r="U3399" s="44"/>
      <c r="V3399" s="44"/>
      <c r="W3399" s="44"/>
      <c r="X3399" s="44"/>
      <c r="Y3399" s="44"/>
    </row>
    <row r="3400" spans="14:25" ht="15" customHeight="1" x14ac:dyDescent="0.25">
      <c r="N3400" s="44"/>
      <c r="O3400" s="44"/>
      <c r="P3400" s="44"/>
      <c r="Q3400" s="44"/>
      <c r="R3400" s="44"/>
      <c r="S3400" s="44"/>
      <c r="T3400" s="44"/>
      <c r="U3400" s="44"/>
      <c r="V3400" s="44"/>
      <c r="W3400" s="44"/>
      <c r="X3400" s="44"/>
      <c r="Y3400" s="44"/>
    </row>
    <row r="3401" spans="14:25" ht="15" customHeight="1" x14ac:dyDescent="0.25">
      <c r="N3401" s="44"/>
      <c r="O3401" s="44"/>
      <c r="P3401" s="44"/>
      <c r="Q3401" s="44"/>
      <c r="R3401" s="44"/>
      <c r="S3401" s="44"/>
      <c r="T3401" s="44"/>
      <c r="U3401" s="44"/>
      <c r="V3401" s="44"/>
      <c r="W3401" s="44"/>
      <c r="X3401" s="44"/>
      <c r="Y3401" s="44"/>
    </row>
    <row r="3402" spans="14:25" ht="15" customHeight="1" x14ac:dyDescent="0.25">
      <c r="N3402" s="44"/>
      <c r="O3402" s="44"/>
      <c r="P3402" s="44"/>
      <c r="Q3402" s="44"/>
      <c r="R3402" s="44"/>
      <c r="S3402" s="44"/>
      <c r="T3402" s="44"/>
      <c r="U3402" s="44"/>
      <c r="V3402" s="44"/>
      <c r="W3402" s="44"/>
      <c r="X3402" s="44"/>
      <c r="Y3402" s="44"/>
    </row>
    <row r="3403" spans="14:25" ht="15" customHeight="1" x14ac:dyDescent="0.25">
      <c r="N3403" s="44"/>
      <c r="O3403" s="44"/>
      <c r="P3403" s="44"/>
      <c r="Q3403" s="44"/>
      <c r="R3403" s="44"/>
      <c r="S3403" s="44"/>
      <c r="T3403" s="44"/>
      <c r="U3403" s="44"/>
      <c r="V3403" s="44"/>
      <c r="W3403" s="44"/>
      <c r="X3403" s="44"/>
      <c r="Y3403" s="44"/>
    </row>
    <row r="3404" spans="14:25" ht="15" customHeight="1" x14ac:dyDescent="0.25">
      <c r="N3404" s="44"/>
      <c r="O3404" s="44"/>
      <c r="P3404" s="44"/>
      <c r="Q3404" s="44"/>
      <c r="R3404" s="44"/>
      <c r="S3404" s="44"/>
      <c r="T3404" s="44"/>
      <c r="U3404" s="44"/>
      <c r="V3404" s="44"/>
      <c r="W3404" s="44"/>
      <c r="X3404" s="44"/>
      <c r="Y3404" s="44"/>
    </row>
    <row r="3405" spans="14:25" ht="15" customHeight="1" x14ac:dyDescent="0.25">
      <c r="N3405" s="44"/>
      <c r="O3405" s="44"/>
      <c r="P3405" s="44"/>
      <c r="Q3405" s="44"/>
      <c r="R3405" s="44"/>
      <c r="S3405" s="44"/>
      <c r="T3405" s="44"/>
      <c r="U3405" s="44"/>
      <c r="V3405" s="44"/>
      <c r="W3405" s="44"/>
      <c r="X3405" s="44"/>
      <c r="Y3405" s="44"/>
    </row>
    <row r="3406" spans="14:25" ht="15" customHeight="1" x14ac:dyDescent="0.25">
      <c r="N3406" s="44"/>
      <c r="O3406" s="44"/>
      <c r="P3406" s="44"/>
      <c r="Q3406" s="44"/>
      <c r="R3406" s="44"/>
      <c r="S3406" s="44"/>
      <c r="T3406" s="44"/>
      <c r="U3406" s="44"/>
      <c r="V3406" s="44"/>
      <c r="W3406" s="44"/>
      <c r="X3406" s="44"/>
      <c r="Y3406" s="44"/>
    </row>
    <row r="3407" spans="14:25" ht="15" customHeight="1" x14ac:dyDescent="0.25">
      <c r="N3407" s="44"/>
      <c r="O3407" s="44"/>
      <c r="P3407" s="44"/>
      <c r="Q3407" s="44"/>
      <c r="R3407" s="44"/>
      <c r="S3407" s="44"/>
      <c r="T3407" s="44"/>
      <c r="U3407" s="44"/>
      <c r="V3407" s="44"/>
      <c r="W3407" s="44"/>
      <c r="X3407" s="44"/>
      <c r="Y3407" s="44"/>
    </row>
    <row r="3408" spans="14:25" ht="15" customHeight="1" x14ac:dyDescent="0.25">
      <c r="N3408" s="44"/>
      <c r="O3408" s="44"/>
      <c r="P3408" s="44"/>
      <c r="Q3408" s="44"/>
      <c r="R3408" s="44"/>
      <c r="S3408" s="44"/>
      <c r="T3408" s="44"/>
      <c r="U3408" s="44"/>
      <c r="V3408" s="44"/>
      <c r="W3408" s="44"/>
      <c r="X3408" s="44"/>
      <c r="Y3408" s="44"/>
    </row>
    <row r="3409" spans="14:25" ht="15" customHeight="1" x14ac:dyDescent="0.25">
      <c r="N3409" s="44"/>
      <c r="O3409" s="44"/>
      <c r="P3409" s="44"/>
      <c r="Q3409" s="44"/>
      <c r="R3409" s="44"/>
      <c r="S3409" s="44"/>
      <c r="T3409" s="44"/>
      <c r="U3409" s="44"/>
      <c r="V3409" s="44"/>
      <c r="W3409" s="44"/>
      <c r="X3409" s="44"/>
      <c r="Y3409" s="44"/>
    </row>
    <row r="3410" spans="14:25" ht="15" customHeight="1" x14ac:dyDescent="0.25">
      <c r="N3410" s="44"/>
      <c r="O3410" s="44"/>
      <c r="P3410" s="44"/>
      <c r="Q3410" s="44"/>
      <c r="R3410" s="44"/>
      <c r="S3410" s="44"/>
      <c r="T3410" s="44"/>
      <c r="U3410" s="44"/>
      <c r="V3410" s="44"/>
      <c r="W3410" s="44"/>
      <c r="X3410" s="44"/>
      <c r="Y3410" s="44"/>
    </row>
    <row r="3411" spans="14:25" ht="15" customHeight="1" x14ac:dyDescent="0.25">
      <c r="N3411" s="44"/>
      <c r="O3411" s="44"/>
      <c r="P3411" s="44"/>
      <c r="Q3411" s="44"/>
      <c r="R3411" s="44"/>
      <c r="S3411" s="44"/>
      <c r="T3411" s="44"/>
      <c r="U3411" s="44"/>
      <c r="V3411" s="44"/>
      <c r="W3411" s="44"/>
      <c r="X3411" s="44"/>
      <c r="Y3411" s="44"/>
    </row>
    <row r="3412" spans="14:25" ht="15" customHeight="1" x14ac:dyDescent="0.25">
      <c r="N3412" s="44"/>
      <c r="O3412" s="44"/>
      <c r="P3412" s="44"/>
      <c r="Q3412" s="44"/>
      <c r="R3412" s="44"/>
      <c r="S3412" s="44"/>
      <c r="T3412" s="44"/>
      <c r="U3412" s="44"/>
      <c r="V3412" s="44"/>
      <c r="W3412" s="44"/>
      <c r="X3412" s="44"/>
      <c r="Y3412" s="44"/>
    </row>
    <row r="3413" spans="14:25" ht="15" customHeight="1" x14ac:dyDescent="0.25">
      <c r="N3413" s="44"/>
      <c r="O3413" s="44"/>
      <c r="P3413" s="44"/>
      <c r="Q3413" s="44"/>
      <c r="R3413" s="44"/>
      <c r="S3413" s="44"/>
      <c r="T3413" s="44"/>
      <c r="U3413" s="44"/>
      <c r="V3413" s="44"/>
      <c r="W3413" s="44"/>
      <c r="X3413" s="44"/>
      <c r="Y3413" s="44"/>
    </row>
    <row r="3414" spans="14:25" ht="15" customHeight="1" x14ac:dyDescent="0.25">
      <c r="N3414" s="44"/>
      <c r="O3414" s="44"/>
      <c r="P3414" s="44"/>
      <c r="Q3414" s="44"/>
      <c r="R3414" s="44"/>
      <c r="S3414" s="44"/>
      <c r="T3414" s="44"/>
      <c r="U3414" s="44"/>
      <c r="V3414" s="44"/>
      <c r="W3414" s="44"/>
      <c r="X3414" s="44"/>
      <c r="Y3414" s="44"/>
    </row>
    <row r="3415" spans="14:25" ht="15" customHeight="1" x14ac:dyDescent="0.25">
      <c r="N3415" s="44"/>
      <c r="O3415" s="44"/>
      <c r="P3415" s="44"/>
      <c r="Q3415" s="44"/>
      <c r="R3415" s="44"/>
      <c r="S3415" s="44"/>
      <c r="T3415" s="44"/>
      <c r="U3415" s="44"/>
      <c r="V3415" s="44"/>
      <c r="W3415" s="44"/>
      <c r="X3415" s="44"/>
      <c r="Y3415" s="44"/>
    </row>
    <row r="3416" spans="14:25" ht="15" customHeight="1" x14ac:dyDescent="0.25">
      <c r="N3416" s="44"/>
      <c r="O3416" s="44"/>
      <c r="P3416" s="44"/>
      <c r="Q3416" s="44"/>
      <c r="R3416" s="44"/>
      <c r="S3416" s="44"/>
      <c r="T3416" s="44"/>
      <c r="U3416" s="44"/>
      <c r="V3416" s="44"/>
      <c r="W3416" s="44"/>
      <c r="X3416" s="44"/>
      <c r="Y3416" s="44"/>
    </row>
    <row r="3417" spans="14:25" ht="15" customHeight="1" x14ac:dyDescent="0.25">
      <c r="N3417" s="44"/>
      <c r="O3417" s="44"/>
      <c r="P3417" s="44"/>
      <c r="Q3417" s="44"/>
      <c r="R3417" s="44"/>
      <c r="S3417" s="44"/>
      <c r="T3417" s="44"/>
      <c r="U3417" s="44"/>
      <c r="V3417" s="44"/>
      <c r="W3417" s="44"/>
      <c r="X3417" s="44"/>
      <c r="Y3417" s="44"/>
    </row>
    <row r="3418" spans="14:25" ht="15" customHeight="1" x14ac:dyDescent="0.25">
      <c r="N3418" s="44"/>
      <c r="O3418" s="44"/>
      <c r="P3418" s="44"/>
      <c r="Q3418" s="44"/>
      <c r="R3418" s="44"/>
      <c r="S3418" s="44"/>
      <c r="T3418" s="44"/>
      <c r="U3418" s="44"/>
      <c r="V3418" s="44"/>
      <c r="W3418" s="44"/>
      <c r="X3418" s="44"/>
      <c r="Y3418" s="44"/>
    </row>
    <row r="3419" spans="14:25" ht="15" customHeight="1" x14ac:dyDescent="0.25">
      <c r="N3419" s="44"/>
      <c r="O3419" s="44"/>
      <c r="P3419" s="44"/>
      <c r="Q3419" s="44"/>
      <c r="R3419" s="44"/>
      <c r="S3419" s="44"/>
      <c r="T3419" s="44"/>
      <c r="U3419" s="44"/>
      <c r="V3419" s="44"/>
      <c r="W3419" s="44"/>
      <c r="X3419" s="44"/>
      <c r="Y3419" s="44"/>
    </row>
    <row r="3420" spans="14:25" ht="15" customHeight="1" x14ac:dyDescent="0.25">
      <c r="N3420" s="44"/>
      <c r="O3420" s="44"/>
      <c r="P3420" s="44"/>
      <c r="Q3420" s="44"/>
      <c r="R3420" s="44"/>
      <c r="S3420" s="44"/>
      <c r="T3420" s="44"/>
      <c r="U3420" s="44"/>
      <c r="V3420" s="44"/>
      <c r="W3420" s="44"/>
      <c r="X3420" s="44"/>
      <c r="Y3420" s="44"/>
    </row>
    <row r="3421" spans="14:25" ht="15" customHeight="1" x14ac:dyDescent="0.25">
      <c r="N3421" s="44"/>
      <c r="O3421" s="44"/>
      <c r="P3421" s="44"/>
      <c r="Q3421" s="44"/>
      <c r="R3421" s="44"/>
      <c r="S3421" s="44"/>
      <c r="T3421" s="44"/>
      <c r="U3421" s="44"/>
      <c r="V3421" s="44"/>
      <c r="W3421" s="44"/>
      <c r="X3421" s="44"/>
      <c r="Y3421" s="44"/>
    </row>
    <row r="3422" spans="14:25" ht="15" customHeight="1" x14ac:dyDescent="0.25">
      <c r="N3422" s="44"/>
      <c r="O3422" s="44"/>
      <c r="P3422" s="44"/>
      <c r="Q3422" s="44"/>
      <c r="R3422" s="44"/>
      <c r="S3422" s="44"/>
      <c r="T3422" s="44"/>
      <c r="U3422" s="44"/>
      <c r="V3422" s="44"/>
      <c r="W3422" s="44"/>
      <c r="X3422" s="44"/>
      <c r="Y3422" s="44"/>
    </row>
    <row r="3423" spans="14:25" ht="15" customHeight="1" x14ac:dyDescent="0.25">
      <c r="N3423" s="44"/>
      <c r="O3423" s="44"/>
      <c r="P3423" s="44"/>
      <c r="Q3423" s="44"/>
      <c r="R3423" s="44"/>
      <c r="S3423" s="44"/>
      <c r="T3423" s="44"/>
      <c r="U3423" s="44"/>
      <c r="V3423" s="44"/>
      <c r="W3423" s="44"/>
      <c r="X3423" s="44"/>
      <c r="Y3423" s="44"/>
    </row>
    <row r="3424" spans="14:25" ht="15" customHeight="1" x14ac:dyDescent="0.25">
      <c r="N3424" s="44"/>
      <c r="O3424" s="44"/>
      <c r="P3424" s="44"/>
      <c r="Q3424" s="44"/>
      <c r="R3424" s="44"/>
      <c r="S3424" s="44"/>
      <c r="T3424" s="44"/>
      <c r="U3424" s="44"/>
      <c r="V3424" s="44"/>
      <c r="W3424" s="44"/>
      <c r="X3424" s="44"/>
      <c r="Y3424" s="44"/>
    </row>
    <row r="3425" spans="14:25" ht="15" customHeight="1" x14ac:dyDescent="0.25">
      <c r="N3425" s="44"/>
      <c r="O3425" s="44"/>
      <c r="P3425" s="44"/>
      <c r="Q3425" s="44"/>
      <c r="R3425" s="44"/>
      <c r="S3425" s="44"/>
      <c r="T3425" s="44"/>
      <c r="U3425" s="44"/>
      <c r="V3425" s="44"/>
      <c r="W3425" s="44"/>
      <c r="X3425" s="44"/>
      <c r="Y3425" s="44"/>
    </row>
    <row r="3426" spans="14:25" ht="15" customHeight="1" x14ac:dyDescent="0.25">
      <c r="N3426" s="44"/>
      <c r="O3426" s="44"/>
      <c r="P3426" s="44"/>
      <c r="Q3426" s="44"/>
      <c r="R3426" s="44"/>
      <c r="S3426" s="44"/>
      <c r="T3426" s="44"/>
      <c r="U3426" s="44"/>
      <c r="V3426" s="44"/>
      <c r="W3426" s="44"/>
      <c r="X3426" s="44"/>
      <c r="Y3426" s="44"/>
    </row>
    <row r="3427" spans="14:25" ht="15" customHeight="1" x14ac:dyDescent="0.25">
      <c r="N3427" s="44"/>
      <c r="O3427" s="44"/>
      <c r="P3427" s="44"/>
      <c r="Q3427" s="44"/>
      <c r="R3427" s="44"/>
      <c r="S3427" s="44"/>
      <c r="T3427" s="44"/>
      <c r="U3427" s="44"/>
      <c r="V3427" s="44"/>
      <c r="W3427" s="44"/>
      <c r="X3427" s="44"/>
      <c r="Y3427" s="44"/>
    </row>
    <row r="3428" spans="14:25" ht="15" customHeight="1" x14ac:dyDescent="0.25">
      <c r="N3428" s="44"/>
      <c r="O3428" s="44"/>
      <c r="P3428" s="44"/>
      <c r="Q3428" s="44"/>
      <c r="R3428" s="44"/>
      <c r="S3428" s="44"/>
      <c r="T3428" s="44"/>
      <c r="U3428" s="44"/>
      <c r="V3428" s="44"/>
      <c r="W3428" s="44"/>
      <c r="X3428" s="44"/>
      <c r="Y3428" s="44"/>
    </row>
    <row r="3429" spans="14:25" ht="15" customHeight="1" x14ac:dyDescent="0.25">
      <c r="N3429" s="44"/>
      <c r="O3429" s="44"/>
      <c r="P3429" s="44"/>
      <c r="Q3429" s="44"/>
      <c r="R3429" s="44"/>
      <c r="S3429" s="44"/>
      <c r="T3429" s="44"/>
      <c r="U3429" s="44"/>
      <c r="V3429" s="44"/>
      <c r="W3429" s="44"/>
      <c r="X3429" s="44"/>
      <c r="Y3429" s="44"/>
    </row>
    <row r="3430" spans="14:25" ht="15" customHeight="1" x14ac:dyDescent="0.25">
      <c r="N3430" s="44"/>
      <c r="O3430" s="44"/>
      <c r="P3430" s="44"/>
      <c r="Q3430" s="44"/>
      <c r="R3430" s="44"/>
      <c r="S3430" s="44"/>
      <c r="T3430" s="44"/>
      <c r="U3430" s="44"/>
      <c r="V3430" s="44"/>
      <c r="W3430" s="44"/>
      <c r="X3430" s="44"/>
      <c r="Y3430" s="44"/>
    </row>
    <row r="3431" spans="14:25" ht="15" customHeight="1" x14ac:dyDescent="0.25">
      <c r="N3431" s="44"/>
      <c r="O3431" s="44"/>
      <c r="P3431" s="44"/>
      <c r="Q3431" s="44"/>
      <c r="R3431" s="44"/>
      <c r="S3431" s="44"/>
      <c r="T3431" s="44"/>
      <c r="U3431" s="44"/>
      <c r="V3431" s="44"/>
      <c r="W3431" s="44"/>
      <c r="X3431" s="44"/>
      <c r="Y3431" s="44"/>
    </row>
    <row r="3432" spans="14:25" ht="15" customHeight="1" x14ac:dyDescent="0.25">
      <c r="N3432" s="44"/>
      <c r="O3432" s="44"/>
      <c r="P3432" s="44"/>
      <c r="Q3432" s="44"/>
      <c r="R3432" s="44"/>
      <c r="S3432" s="44"/>
      <c r="T3432" s="44"/>
      <c r="U3432" s="44"/>
      <c r="V3432" s="44"/>
      <c r="W3432" s="44"/>
      <c r="X3432" s="44"/>
      <c r="Y3432" s="44"/>
    </row>
    <row r="3433" spans="14:25" ht="15" customHeight="1" x14ac:dyDescent="0.25">
      <c r="N3433" s="44"/>
      <c r="O3433" s="44"/>
      <c r="P3433" s="44"/>
      <c r="Q3433" s="44"/>
      <c r="R3433" s="44"/>
      <c r="S3433" s="44"/>
      <c r="T3433" s="44"/>
      <c r="U3433" s="44"/>
      <c r="V3433" s="44"/>
      <c r="W3433" s="44"/>
      <c r="X3433" s="44"/>
      <c r="Y3433" s="44"/>
    </row>
    <row r="3434" spans="14:25" ht="15" customHeight="1" x14ac:dyDescent="0.25">
      <c r="N3434" s="44"/>
      <c r="O3434" s="44"/>
      <c r="P3434" s="44"/>
      <c r="Q3434" s="44"/>
      <c r="R3434" s="44"/>
      <c r="S3434" s="44"/>
      <c r="T3434" s="44"/>
      <c r="U3434" s="44"/>
      <c r="V3434" s="44"/>
      <c r="W3434" s="44"/>
      <c r="X3434" s="44"/>
      <c r="Y3434" s="44"/>
    </row>
    <row r="3435" spans="14:25" ht="15" customHeight="1" x14ac:dyDescent="0.25">
      <c r="N3435" s="44"/>
      <c r="O3435" s="44"/>
      <c r="P3435" s="44"/>
      <c r="Q3435" s="44"/>
      <c r="R3435" s="44"/>
      <c r="S3435" s="44"/>
      <c r="T3435" s="44"/>
      <c r="U3435" s="44"/>
      <c r="V3435" s="44"/>
      <c r="W3435" s="44"/>
      <c r="X3435" s="44"/>
      <c r="Y3435" s="44"/>
    </row>
    <row r="3436" spans="14:25" ht="15" customHeight="1" x14ac:dyDescent="0.25">
      <c r="N3436" s="44"/>
      <c r="O3436" s="44"/>
      <c r="P3436" s="44"/>
      <c r="Q3436" s="44"/>
      <c r="R3436" s="44"/>
      <c r="S3436" s="44"/>
      <c r="T3436" s="44"/>
      <c r="U3436" s="44"/>
      <c r="V3436" s="44"/>
      <c r="W3436" s="44"/>
      <c r="X3436" s="44"/>
      <c r="Y3436" s="44"/>
    </row>
    <row r="3437" spans="14:25" ht="15" customHeight="1" x14ac:dyDescent="0.25">
      <c r="N3437" s="44"/>
      <c r="O3437" s="44"/>
      <c r="P3437" s="44"/>
      <c r="Q3437" s="44"/>
      <c r="R3437" s="44"/>
      <c r="S3437" s="44"/>
      <c r="T3437" s="44"/>
      <c r="U3437" s="44"/>
      <c r="V3437" s="44"/>
      <c r="W3437" s="44"/>
      <c r="X3437" s="44"/>
      <c r="Y3437" s="44"/>
    </row>
    <row r="3438" spans="14:25" ht="15" customHeight="1" x14ac:dyDescent="0.25">
      <c r="N3438" s="44"/>
      <c r="O3438" s="44"/>
      <c r="P3438" s="44"/>
      <c r="Q3438" s="44"/>
      <c r="R3438" s="44"/>
      <c r="S3438" s="44"/>
      <c r="T3438" s="44"/>
      <c r="U3438" s="44"/>
      <c r="V3438" s="44"/>
      <c r="W3438" s="44"/>
      <c r="X3438" s="44"/>
      <c r="Y3438" s="44"/>
    </row>
    <row r="3439" spans="14:25" ht="15" customHeight="1" x14ac:dyDescent="0.25">
      <c r="N3439" s="44"/>
      <c r="O3439" s="44"/>
      <c r="P3439" s="44"/>
      <c r="Q3439" s="44"/>
      <c r="R3439" s="44"/>
      <c r="S3439" s="44"/>
      <c r="T3439" s="44"/>
      <c r="U3439" s="44"/>
      <c r="V3439" s="44"/>
      <c r="W3439" s="44"/>
      <c r="X3439" s="44"/>
      <c r="Y3439" s="44"/>
    </row>
    <row r="3440" spans="14:25" ht="15" customHeight="1" x14ac:dyDescent="0.25">
      <c r="N3440" s="44"/>
      <c r="O3440" s="44"/>
      <c r="P3440" s="44"/>
      <c r="Q3440" s="44"/>
      <c r="R3440" s="44"/>
      <c r="S3440" s="44"/>
      <c r="T3440" s="44"/>
      <c r="U3440" s="44"/>
      <c r="V3440" s="44"/>
      <c r="W3440" s="44"/>
      <c r="X3440" s="44"/>
      <c r="Y3440" s="44"/>
    </row>
    <row r="3441" spans="14:25" ht="15" customHeight="1" x14ac:dyDescent="0.25">
      <c r="N3441" s="44"/>
      <c r="O3441" s="44"/>
      <c r="P3441" s="44"/>
      <c r="Q3441" s="44"/>
      <c r="R3441" s="44"/>
      <c r="S3441" s="44"/>
      <c r="T3441" s="44"/>
      <c r="U3441" s="44"/>
      <c r="V3441" s="44"/>
      <c r="W3441" s="44"/>
      <c r="X3441" s="44"/>
      <c r="Y3441" s="44"/>
    </row>
    <row r="3442" spans="14:25" ht="15" customHeight="1" x14ac:dyDescent="0.25">
      <c r="N3442" s="44"/>
      <c r="O3442" s="44"/>
      <c r="P3442" s="44"/>
      <c r="Q3442" s="44"/>
      <c r="R3442" s="44"/>
      <c r="S3442" s="44"/>
      <c r="T3442" s="44"/>
      <c r="U3442" s="44"/>
      <c r="V3442" s="44"/>
      <c r="W3442" s="44"/>
      <c r="X3442" s="44"/>
      <c r="Y3442" s="44"/>
    </row>
    <row r="3443" spans="14:25" ht="15" customHeight="1" x14ac:dyDescent="0.25">
      <c r="N3443" s="44"/>
      <c r="O3443" s="44"/>
      <c r="P3443" s="44"/>
      <c r="Q3443" s="44"/>
      <c r="R3443" s="44"/>
      <c r="S3443" s="44"/>
      <c r="T3443" s="44"/>
      <c r="U3443" s="44"/>
      <c r="V3443" s="44"/>
      <c r="W3443" s="44"/>
      <c r="X3443" s="44"/>
      <c r="Y3443" s="44"/>
    </row>
    <row r="3444" spans="14:25" ht="15" customHeight="1" x14ac:dyDescent="0.25">
      <c r="N3444" s="44"/>
      <c r="O3444" s="44"/>
      <c r="P3444" s="44"/>
      <c r="Q3444" s="44"/>
      <c r="R3444" s="44"/>
      <c r="S3444" s="44"/>
      <c r="T3444" s="44"/>
      <c r="U3444" s="44"/>
      <c r="V3444" s="44"/>
      <c r="W3444" s="44"/>
      <c r="X3444" s="44"/>
      <c r="Y3444" s="44"/>
    </row>
    <row r="3445" spans="14:25" ht="15" customHeight="1" x14ac:dyDescent="0.25">
      <c r="N3445" s="44"/>
      <c r="O3445" s="44"/>
      <c r="P3445" s="44"/>
      <c r="Q3445" s="44"/>
      <c r="R3445" s="44"/>
      <c r="S3445" s="44"/>
      <c r="T3445" s="44"/>
      <c r="U3445" s="44"/>
      <c r="V3445" s="44"/>
      <c r="W3445" s="44"/>
      <c r="X3445" s="44"/>
      <c r="Y3445" s="44"/>
    </row>
    <row r="3446" spans="14:25" ht="15" customHeight="1" x14ac:dyDescent="0.25">
      <c r="N3446" s="44"/>
      <c r="O3446" s="44"/>
      <c r="P3446" s="44"/>
      <c r="Q3446" s="44"/>
      <c r="R3446" s="44"/>
      <c r="S3446" s="44"/>
      <c r="T3446" s="44"/>
      <c r="U3446" s="44"/>
      <c r="V3446" s="44"/>
      <c r="W3446" s="44"/>
      <c r="X3446" s="44"/>
      <c r="Y3446" s="44"/>
    </row>
    <row r="3447" spans="14:25" ht="15" customHeight="1" x14ac:dyDescent="0.25">
      <c r="N3447" s="44"/>
      <c r="O3447" s="44"/>
      <c r="P3447" s="44"/>
      <c r="Q3447" s="44"/>
      <c r="R3447" s="44"/>
      <c r="S3447" s="44"/>
      <c r="T3447" s="44"/>
      <c r="U3447" s="44"/>
      <c r="V3447" s="44"/>
      <c r="W3447" s="44"/>
      <c r="X3447" s="44"/>
      <c r="Y3447" s="44"/>
    </row>
    <row r="3448" spans="14:25" ht="15" customHeight="1" x14ac:dyDescent="0.25">
      <c r="N3448" s="44"/>
      <c r="O3448" s="44"/>
      <c r="P3448" s="44"/>
      <c r="Q3448" s="44"/>
      <c r="R3448" s="44"/>
      <c r="S3448" s="44"/>
      <c r="T3448" s="44"/>
      <c r="U3448" s="44"/>
      <c r="V3448" s="44"/>
      <c r="W3448" s="44"/>
      <c r="X3448" s="44"/>
      <c r="Y3448" s="44"/>
    </row>
    <row r="3449" spans="14:25" ht="15" customHeight="1" x14ac:dyDescent="0.25">
      <c r="N3449" s="44"/>
      <c r="O3449" s="44"/>
      <c r="P3449" s="44"/>
      <c r="Q3449" s="44"/>
      <c r="R3449" s="44"/>
      <c r="S3449" s="44"/>
      <c r="T3449" s="44"/>
      <c r="U3449" s="44"/>
      <c r="V3449" s="44"/>
      <c r="W3449" s="44"/>
      <c r="X3449" s="44"/>
      <c r="Y3449" s="44"/>
    </row>
    <row r="3450" spans="14:25" ht="15" customHeight="1" x14ac:dyDescent="0.25">
      <c r="N3450" s="44"/>
      <c r="O3450" s="44"/>
      <c r="P3450" s="44"/>
      <c r="Q3450" s="44"/>
      <c r="R3450" s="44"/>
      <c r="S3450" s="44"/>
      <c r="T3450" s="44"/>
      <c r="U3450" s="44"/>
      <c r="V3450" s="44"/>
      <c r="W3450" s="44"/>
      <c r="X3450" s="44"/>
      <c r="Y3450" s="44"/>
    </row>
    <row r="3451" spans="14:25" ht="15" customHeight="1" x14ac:dyDescent="0.25">
      <c r="N3451" s="44"/>
      <c r="O3451" s="44"/>
      <c r="P3451" s="44"/>
      <c r="Q3451" s="44"/>
      <c r="R3451" s="44"/>
      <c r="S3451" s="44"/>
      <c r="T3451" s="44"/>
      <c r="U3451" s="44"/>
      <c r="V3451" s="44"/>
      <c r="W3451" s="44"/>
      <c r="X3451" s="44"/>
      <c r="Y3451" s="44"/>
    </row>
    <row r="3452" spans="14:25" ht="15" customHeight="1" x14ac:dyDescent="0.25">
      <c r="N3452" s="44"/>
      <c r="O3452" s="44"/>
      <c r="P3452" s="44"/>
      <c r="Q3452" s="44"/>
      <c r="R3452" s="44"/>
      <c r="S3452" s="44"/>
      <c r="T3452" s="44"/>
      <c r="U3452" s="44"/>
      <c r="V3452" s="44"/>
      <c r="W3452" s="44"/>
      <c r="X3452" s="44"/>
      <c r="Y3452" s="44"/>
    </row>
    <row r="3453" spans="14:25" ht="15" customHeight="1" x14ac:dyDescent="0.25">
      <c r="N3453" s="44"/>
      <c r="O3453" s="44"/>
      <c r="P3453" s="44"/>
      <c r="Q3453" s="44"/>
      <c r="R3453" s="44"/>
      <c r="S3453" s="44"/>
      <c r="T3453" s="44"/>
      <c r="U3453" s="44"/>
      <c r="V3453" s="44"/>
      <c r="W3453" s="44"/>
      <c r="X3453" s="44"/>
      <c r="Y3453" s="44"/>
    </row>
    <row r="3454" spans="14:25" ht="15" customHeight="1" x14ac:dyDescent="0.25">
      <c r="N3454" s="44"/>
      <c r="O3454" s="44"/>
      <c r="P3454" s="44"/>
      <c r="Q3454" s="44"/>
      <c r="R3454" s="44"/>
      <c r="S3454" s="44"/>
      <c r="T3454" s="44"/>
      <c r="U3454" s="44"/>
      <c r="V3454" s="44"/>
      <c r="W3454" s="44"/>
      <c r="X3454" s="44"/>
      <c r="Y3454" s="44"/>
    </row>
    <row r="3455" spans="14:25" ht="15" customHeight="1" x14ac:dyDescent="0.25">
      <c r="N3455" s="44"/>
      <c r="O3455" s="44"/>
      <c r="P3455" s="44"/>
      <c r="Q3455" s="44"/>
      <c r="R3455" s="44"/>
      <c r="S3455" s="44"/>
      <c r="T3455" s="44"/>
      <c r="U3455" s="44"/>
      <c r="V3455" s="44"/>
      <c r="W3455" s="44"/>
      <c r="X3455" s="44"/>
      <c r="Y3455" s="44"/>
    </row>
    <row r="3456" spans="14:25" ht="15" customHeight="1" x14ac:dyDescent="0.25">
      <c r="N3456" s="44"/>
      <c r="O3456" s="44"/>
      <c r="P3456" s="44"/>
      <c r="Q3456" s="44"/>
      <c r="R3456" s="44"/>
      <c r="S3456" s="44"/>
      <c r="T3456" s="44"/>
      <c r="U3456" s="44"/>
      <c r="V3456" s="44"/>
      <c r="W3456" s="44"/>
      <c r="X3456" s="44"/>
      <c r="Y3456" s="44"/>
    </row>
    <row r="3457" spans="14:25" ht="15" customHeight="1" x14ac:dyDescent="0.25">
      <c r="N3457" s="44"/>
      <c r="O3457" s="44"/>
      <c r="P3457" s="44"/>
      <c r="Q3457" s="44"/>
      <c r="R3457" s="44"/>
      <c r="S3457" s="44"/>
      <c r="T3457" s="44"/>
      <c r="U3457" s="44"/>
      <c r="V3457" s="44"/>
      <c r="W3457" s="44"/>
      <c r="X3457" s="44"/>
      <c r="Y3457" s="44"/>
    </row>
    <row r="3458" spans="14:25" ht="15" customHeight="1" x14ac:dyDescent="0.25">
      <c r="N3458" s="44"/>
      <c r="O3458" s="44"/>
      <c r="P3458" s="44"/>
      <c r="Q3458" s="44"/>
      <c r="R3458" s="44"/>
      <c r="S3458" s="44"/>
      <c r="T3458" s="44"/>
      <c r="U3458" s="44"/>
      <c r="V3458" s="44"/>
      <c r="W3458" s="44"/>
      <c r="X3458" s="44"/>
      <c r="Y3458" s="44"/>
    </row>
    <row r="3459" spans="14:25" ht="15" customHeight="1" x14ac:dyDescent="0.25">
      <c r="N3459" s="44"/>
      <c r="O3459" s="44"/>
      <c r="P3459" s="44"/>
      <c r="Q3459" s="44"/>
      <c r="R3459" s="44"/>
      <c r="S3459" s="44"/>
      <c r="T3459" s="44"/>
      <c r="U3459" s="44"/>
      <c r="V3459" s="44"/>
      <c r="W3459" s="44"/>
      <c r="X3459" s="44"/>
      <c r="Y3459" s="44"/>
    </row>
    <row r="3460" spans="14:25" ht="15" customHeight="1" x14ac:dyDescent="0.25">
      <c r="N3460" s="44"/>
      <c r="O3460" s="44"/>
      <c r="P3460" s="44"/>
      <c r="Q3460" s="44"/>
      <c r="R3460" s="44"/>
      <c r="S3460" s="44"/>
      <c r="T3460" s="44"/>
      <c r="U3460" s="44"/>
      <c r="V3460" s="44"/>
      <c r="W3460" s="44"/>
      <c r="X3460" s="44"/>
      <c r="Y3460" s="44"/>
    </row>
    <row r="3461" spans="14:25" ht="15" customHeight="1" x14ac:dyDescent="0.25">
      <c r="N3461" s="44"/>
      <c r="O3461" s="44"/>
      <c r="P3461" s="44"/>
      <c r="Q3461" s="44"/>
      <c r="R3461" s="44"/>
      <c r="S3461" s="44"/>
      <c r="T3461" s="44"/>
      <c r="U3461" s="44"/>
      <c r="V3461" s="44"/>
      <c r="W3461" s="44"/>
      <c r="X3461" s="44"/>
      <c r="Y3461" s="44"/>
    </row>
    <row r="3462" spans="14:25" ht="15" customHeight="1" x14ac:dyDescent="0.25">
      <c r="N3462" s="44"/>
      <c r="O3462" s="44"/>
      <c r="P3462" s="44"/>
      <c r="Q3462" s="44"/>
      <c r="R3462" s="44"/>
      <c r="S3462" s="44"/>
      <c r="T3462" s="44"/>
      <c r="U3462" s="44"/>
      <c r="V3462" s="44"/>
      <c r="W3462" s="44"/>
      <c r="X3462" s="44"/>
      <c r="Y3462" s="44"/>
    </row>
    <row r="3463" spans="14:25" ht="15" customHeight="1" x14ac:dyDescent="0.25">
      <c r="N3463" s="44"/>
      <c r="O3463" s="44"/>
      <c r="P3463" s="44"/>
      <c r="Q3463" s="44"/>
      <c r="R3463" s="44"/>
      <c r="S3463" s="44"/>
      <c r="T3463" s="44"/>
      <c r="U3463" s="44"/>
      <c r="V3463" s="44"/>
      <c r="W3463" s="44"/>
      <c r="X3463" s="44"/>
      <c r="Y3463" s="44"/>
    </row>
    <row r="3464" spans="14:25" ht="15" customHeight="1" x14ac:dyDescent="0.25">
      <c r="N3464" s="44"/>
      <c r="O3464" s="44"/>
      <c r="P3464" s="44"/>
      <c r="Q3464" s="44"/>
      <c r="R3464" s="44"/>
      <c r="S3464" s="44"/>
      <c r="T3464" s="44"/>
      <c r="U3464" s="44"/>
      <c r="V3464" s="44"/>
      <c r="W3464" s="44"/>
      <c r="X3464" s="44"/>
      <c r="Y3464" s="44"/>
    </row>
    <row r="3465" spans="14:25" ht="15" customHeight="1" x14ac:dyDescent="0.25">
      <c r="N3465" s="44"/>
      <c r="O3465" s="44"/>
      <c r="P3465" s="44"/>
      <c r="Q3465" s="44"/>
      <c r="R3465" s="44"/>
      <c r="S3465" s="44"/>
      <c r="T3465" s="44"/>
      <c r="U3465" s="44"/>
      <c r="V3465" s="44"/>
      <c r="W3465" s="44"/>
      <c r="X3465" s="44"/>
      <c r="Y3465" s="44"/>
    </row>
    <row r="3466" spans="14:25" ht="15" customHeight="1" x14ac:dyDescent="0.25">
      <c r="N3466" s="44"/>
      <c r="O3466" s="44"/>
      <c r="P3466" s="44"/>
      <c r="Q3466" s="44"/>
      <c r="R3466" s="44"/>
      <c r="S3466" s="44"/>
      <c r="T3466" s="44"/>
      <c r="U3466" s="44"/>
      <c r="V3466" s="44"/>
      <c r="W3466" s="44"/>
      <c r="X3466" s="44"/>
      <c r="Y3466" s="44"/>
    </row>
    <row r="3467" spans="14:25" ht="15" customHeight="1" x14ac:dyDescent="0.25">
      <c r="N3467" s="44"/>
      <c r="O3467" s="44"/>
      <c r="P3467" s="44"/>
      <c r="Q3467" s="44"/>
      <c r="R3467" s="44"/>
      <c r="S3467" s="44"/>
      <c r="T3467" s="44"/>
      <c r="U3467" s="44"/>
      <c r="V3467" s="44"/>
      <c r="W3467" s="44"/>
      <c r="X3467" s="44"/>
      <c r="Y3467" s="44"/>
    </row>
    <row r="3468" spans="14:25" ht="15" customHeight="1" x14ac:dyDescent="0.25">
      <c r="N3468" s="44"/>
      <c r="O3468" s="44"/>
      <c r="P3468" s="44"/>
      <c r="Q3468" s="44"/>
      <c r="R3468" s="44"/>
      <c r="S3468" s="44"/>
      <c r="T3468" s="44"/>
      <c r="U3468" s="44"/>
      <c r="V3468" s="44"/>
      <c r="W3468" s="44"/>
      <c r="X3468" s="44"/>
      <c r="Y3468" s="44"/>
    </row>
    <row r="3469" spans="14:25" ht="15" customHeight="1" x14ac:dyDescent="0.25">
      <c r="N3469" s="44"/>
      <c r="O3469" s="44"/>
      <c r="P3469" s="44"/>
      <c r="Q3469" s="44"/>
      <c r="R3469" s="44"/>
      <c r="S3469" s="44"/>
      <c r="T3469" s="44"/>
      <c r="U3469" s="44"/>
      <c r="V3469" s="44"/>
      <c r="W3469" s="44"/>
      <c r="X3469" s="44"/>
      <c r="Y3469" s="44"/>
    </row>
    <row r="3470" spans="14:25" ht="15" customHeight="1" x14ac:dyDescent="0.25">
      <c r="N3470" s="44"/>
      <c r="O3470" s="44"/>
      <c r="P3470" s="44"/>
      <c r="Q3470" s="44"/>
      <c r="R3470" s="44"/>
      <c r="S3470" s="44"/>
      <c r="T3470" s="44"/>
      <c r="U3470" s="44"/>
      <c r="V3470" s="44"/>
      <c r="W3470" s="44"/>
      <c r="X3470" s="44"/>
      <c r="Y3470" s="44"/>
    </row>
    <row r="3471" spans="14:25" ht="15" customHeight="1" x14ac:dyDescent="0.25">
      <c r="N3471" s="44"/>
      <c r="O3471" s="44"/>
      <c r="P3471" s="44"/>
      <c r="Q3471" s="44"/>
      <c r="R3471" s="44"/>
      <c r="S3471" s="44"/>
      <c r="T3471" s="44"/>
      <c r="U3471" s="44"/>
      <c r="V3471" s="44"/>
      <c r="W3471" s="44"/>
      <c r="X3471" s="44"/>
      <c r="Y3471" s="44"/>
    </row>
    <row r="3472" spans="14:25" ht="15" customHeight="1" x14ac:dyDescent="0.25">
      <c r="N3472" s="44"/>
      <c r="O3472" s="44"/>
      <c r="P3472" s="44"/>
      <c r="Q3472" s="44"/>
      <c r="R3472" s="44"/>
      <c r="S3472" s="44"/>
      <c r="T3472" s="44"/>
      <c r="U3472" s="44"/>
      <c r="V3472" s="44"/>
      <c r="W3472" s="44"/>
      <c r="X3472" s="44"/>
      <c r="Y3472" s="44"/>
    </row>
    <row r="3473" spans="14:25" ht="15" customHeight="1" x14ac:dyDescent="0.25">
      <c r="N3473" s="44"/>
      <c r="O3473" s="44"/>
      <c r="P3473" s="44"/>
      <c r="Q3473" s="44"/>
      <c r="R3473" s="44"/>
      <c r="S3473" s="44"/>
      <c r="T3473" s="44"/>
      <c r="U3473" s="44"/>
      <c r="V3473" s="44"/>
      <c r="W3473" s="44"/>
      <c r="X3473" s="44"/>
      <c r="Y3473" s="44"/>
    </row>
    <row r="3474" spans="14:25" ht="15" customHeight="1" x14ac:dyDescent="0.25">
      <c r="N3474" s="44"/>
      <c r="O3474" s="44"/>
      <c r="P3474" s="44"/>
      <c r="Q3474" s="44"/>
      <c r="R3474" s="44"/>
      <c r="S3474" s="44"/>
      <c r="T3474" s="44"/>
      <c r="U3474" s="44"/>
      <c r="V3474" s="44"/>
      <c r="W3474" s="44"/>
      <c r="X3474" s="44"/>
      <c r="Y3474" s="44"/>
    </row>
    <row r="3475" spans="14:25" ht="15" customHeight="1" x14ac:dyDescent="0.25">
      <c r="N3475" s="44"/>
      <c r="O3475" s="44"/>
      <c r="P3475" s="44"/>
      <c r="Q3475" s="44"/>
      <c r="R3475" s="44"/>
      <c r="S3475" s="44"/>
      <c r="T3475" s="44"/>
      <c r="U3475" s="44"/>
      <c r="V3475" s="44"/>
      <c r="W3475" s="44"/>
      <c r="X3475" s="44"/>
      <c r="Y3475" s="44"/>
    </row>
    <row r="3476" spans="14:25" ht="15" customHeight="1" x14ac:dyDescent="0.25">
      <c r="N3476" s="44"/>
      <c r="O3476" s="44"/>
      <c r="P3476" s="44"/>
      <c r="Q3476" s="44"/>
      <c r="R3476" s="44"/>
      <c r="S3476" s="44"/>
      <c r="T3476" s="44"/>
      <c r="U3476" s="44"/>
      <c r="V3476" s="44"/>
      <c r="W3476" s="44"/>
      <c r="X3476" s="44"/>
      <c r="Y3476" s="44"/>
    </row>
    <row r="3477" spans="14:25" ht="15" customHeight="1" x14ac:dyDescent="0.25">
      <c r="N3477" s="44"/>
      <c r="O3477" s="44"/>
      <c r="P3477" s="44"/>
      <c r="Q3477" s="44"/>
      <c r="R3477" s="44"/>
      <c r="S3477" s="44"/>
      <c r="T3477" s="44"/>
      <c r="U3477" s="44"/>
      <c r="V3477" s="44"/>
      <c r="W3477" s="44"/>
      <c r="X3477" s="44"/>
      <c r="Y3477" s="44"/>
    </row>
    <row r="3478" spans="14:25" ht="15" customHeight="1" x14ac:dyDescent="0.25">
      <c r="N3478" s="44"/>
      <c r="O3478" s="44"/>
      <c r="P3478" s="44"/>
      <c r="Q3478" s="44"/>
      <c r="R3478" s="44"/>
      <c r="S3478" s="44"/>
      <c r="T3478" s="44"/>
      <c r="U3478" s="44"/>
      <c r="V3478" s="44"/>
      <c r="W3478" s="44"/>
      <c r="X3478" s="44"/>
      <c r="Y3478" s="44"/>
    </row>
    <row r="3479" spans="14:25" ht="15" customHeight="1" x14ac:dyDescent="0.25">
      <c r="N3479" s="44"/>
      <c r="O3479" s="44"/>
      <c r="P3479" s="44"/>
      <c r="Q3479" s="44"/>
      <c r="R3479" s="44"/>
      <c r="S3479" s="44"/>
      <c r="T3479" s="44"/>
      <c r="U3479" s="44"/>
      <c r="V3479" s="44"/>
      <c r="W3479" s="44"/>
      <c r="X3479" s="44"/>
      <c r="Y3479" s="44"/>
    </row>
    <row r="3480" spans="14:25" ht="15" customHeight="1" x14ac:dyDescent="0.25">
      <c r="N3480" s="44"/>
      <c r="O3480" s="44"/>
      <c r="P3480" s="44"/>
      <c r="Q3480" s="44"/>
      <c r="R3480" s="44"/>
      <c r="S3480" s="44"/>
      <c r="T3480" s="44"/>
      <c r="U3480" s="44"/>
      <c r="V3480" s="44"/>
      <c r="W3480" s="44"/>
      <c r="X3480" s="44"/>
      <c r="Y3480" s="44"/>
    </row>
    <row r="3481" spans="14:25" ht="15" customHeight="1" x14ac:dyDescent="0.25">
      <c r="N3481" s="44"/>
      <c r="O3481" s="44"/>
      <c r="P3481" s="44"/>
      <c r="Q3481" s="44"/>
      <c r="R3481" s="44"/>
      <c r="S3481" s="44"/>
      <c r="T3481" s="44"/>
      <c r="U3481" s="44"/>
      <c r="V3481" s="44"/>
      <c r="W3481" s="44"/>
      <c r="X3481" s="44"/>
      <c r="Y3481" s="44"/>
    </row>
    <row r="3482" spans="14:25" ht="15" customHeight="1" x14ac:dyDescent="0.25">
      <c r="N3482" s="44"/>
      <c r="O3482" s="44"/>
      <c r="P3482" s="44"/>
      <c r="Q3482" s="44"/>
      <c r="R3482" s="44"/>
      <c r="S3482" s="44"/>
      <c r="T3482" s="44"/>
      <c r="U3482" s="44"/>
      <c r="V3482" s="44"/>
      <c r="W3482" s="44"/>
      <c r="X3482" s="44"/>
      <c r="Y3482" s="44"/>
    </row>
    <row r="3483" spans="14:25" ht="15" customHeight="1" x14ac:dyDescent="0.25">
      <c r="N3483" s="44"/>
      <c r="O3483" s="44"/>
      <c r="P3483" s="44"/>
      <c r="Q3483" s="44"/>
      <c r="R3483" s="44"/>
      <c r="S3483" s="44"/>
      <c r="T3483" s="44"/>
      <c r="U3483" s="44"/>
      <c r="V3483" s="44"/>
      <c r="W3483" s="44"/>
      <c r="X3483" s="44"/>
      <c r="Y3483" s="44"/>
    </row>
    <row r="3484" spans="14:25" ht="15" customHeight="1" x14ac:dyDescent="0.25">
      <c r="N3484" s="44"/>
      <c r="O3484" s="44"/>
      <c r="P3484" s="44"/>
      <c r="Q3484" s="44"/>
      <c r="R3484" s="44"/>
      <c r="S3484" s="44"/>
      <c r="T3484" s="44"/>
      <c r="U3484" s="44"/>
      <c r="V3484" s="44"/>
      <c r="W3484" s="44"/>
      <c r="X3484" s="44"/>
      <c r="Y3484" s="44"/>
    </row>
    <row r="3485" spans="14:25" ht="15" customHeight="1" x14ac:dyDescent="0.25">
      <c r="N3485" s="44"/>
      <c r="O3485" s="44"/>
      <c r="P3485" s="44"/>
      <c r="Q3485" s="44"/>
      <c r="R3485" s="44"/>
      <c r="S3485" s="44"/>
      <c r="T3485" s="44"/>
      <c r="U3485" s="44"/>
      <c r="V3485" s="44"/>
      <c r="W3485" s="44"/>
      <c r="X3485" s="44"/>
      <c r="Y3485" s="44"/>
    </row>
    <row r="3486" spans="14:25" ht="15" customHeight="1" x14ac:dyDescent="0.25">
      <c r="N3486" s="44"/>
      <c r="O3486" s="44"/>
      <c r="P3486" s="44"/>
      <c r="Q3486" s="44"/>
      <c r="R3486" s="44"/>
      <c r="S3486" s="44"/>
      <c r="T3486" s="44"/>
      <c r="U3486" s="44"/>
      <c r="V3486" s="44"/>
      <c r="W3486" s="44"/>
      <c r="X3486" s="44"/>
      <c r="Y3486" s="44"/>
    </row>
    <row r="3487" spans="14:25" ht="15" customHeight="1" x14ac:dyDescent="0.25">
      <c r="N3487" s="44"/>
      <c r="O3487" s="44"/>
      <c r="P3487" s="44"/>
      <c r="Q3487" s="44"/>
      <c r="R3487" s="44"/>
      <c r="S3487" s="44"/>
      <c r="T3487" s="44"/>
      <c r="U3487" s="44"/>
      <c r="V3487" s="44"/>
      <c r="W3487" s="44"/>
      <c r="X3487" s="44"/>
      <c r="Y3487" s="44"/>
    </row>
    <row r="3488" spans="14:25" ht="15" customHeight="1" x14ac:dyDescent="0.25">
      <c r="N3488" s="44"/>
      <c r="O3488" s="44"/>
      <c r="P3488" s="44"/>
      <c r="Q3488" s="44"/>
      <c r="R3488" s="44"/>
      <c r="S3488" s="44"/>
      <c r="T3488" s="44"/>
      <c r="U3488" s="44"/>
      <c r="V3488" s="44"/>
      <c r="W3488" s="44"/>
      <c r="X3488" s="44"/>
      <c r="Y3488" s="44"/>
    </row>
    <row r="3489" spans="14:25" ht="15" customHeight="1" x14ac:dyDescent="0.25">
      <c r="N3489" s="44"/>
      <c r="O3489" s="44"/>
      <c r="P3489" s="44"/>
      <c r="Q3489" s="44"/>
      <c r="R3489" s="44"/>
      <c r="S3489" s="44"/>
      <c r="T3489" s="44"/>
      <c r="U3489" s="44"/>
      <c r="V3489" s="44"/>
      <c r="W3489" s="44"/>
      <c r="X3489" s="44"/>
      <c r="Y3489" s="44"/>
    </row>
    <row r="3490" spans="14:25" ht="15" customHeight="1" x14ac:dyDescent="0.25">
      <c r="N3490" s="44"/>
      <c r="O3490" s="44"/>
      <c r="P3490" s="44"/>
      <c r="Q3490" s="44"/>
      <c r="R3490" s="44"/>
      <c r="S3490" s="44"/>
      <c r="T3490" s="44"/>
      <c r="U3490" s="44"/>
      <c r="V3490" s="44"/>
      <c r="W3490" s="44"/>
      <c r="X3490" s="44"/>
      <c r="Y3490" s="44"/>
    </row>
    <row r="3491" spans="14:25" ht="15" customHeight="1" x14ac:dyDescent="0.25">
      <c r="N3491" s="44"/>
      <c r="O3491" s="44"/>
      <c r="P3491" s="44"/>
      <c r="Q3491" s="44"/>
      <c r="R3491" s="44"/>
      <c r="S3491" s="44"/>
      <c r="T3491" s="44"/>
      <c r="U3491" s="44"/>
      <c r="V3491" s="44"/>
      <c r="W3491" s="44"/>
      <c r="X3491" s="44"/>
      <c r="Y3491" s="44"/>
    </row>
    <row r="3492" spans="14:25" ht="15" customHeight="1" x14ac:dyDescent="0.25">
      <c r="N3492" s="44"/>
      <c r="O3492" s="44"/>
      <c r="P3492" s="44"/>
      <c r="Q3492" s="44"/>
      <c r="R3492" s="44"/>
      <c r="S3492" s="44"/>
      <c r="T3492" s="44"/>
      <c r="U3492" s="44"/>
      <c r="V3492" s="44"/>
      <c r="W3492" s="44"/>
      <c r="X3492" s="44"/>
      <c r="Y3492" s="44"/>
    </row>
    <row r="3493" spans="14:25" ht="15" customHeight="1" x14ac:dyDescent="0.25">
      <c r="N3493" s="44"/>
      <c r="O3493" s="44"/>
      <c r="P3493" s="44"/>
      <c r="Q3493" s="44"/>
      <c r="R3493" s="44"/>
      <c r="S3493" s="44"/>
      <c r="T3493" s="44"/>
      <c r="U3493" s="44"/>
      <c r="V3493" s="44"/>
      <c r="W3493" s="44"/>
      <c r="X3493" s="44"/>
      <c r="Y3493" s="44"/>
    </row>
    <row r="3494" spans="14:25" ht="15" customHeight="1" x14ac:dyDescent="0.25">
      <c r="N3494" s="44"/>
      <c r="O3494" s="44"/>
      <c r="P3494" s="44"/>
      <c r="Q3494" s="44"/>
      <c r="R3494" s="44"/>
      <c r="S3494" s="44"/>
      <c r="T3494" s="44"/>
      <c r="U3494" s="44"/>
      <c r="V3494" s="44"/>
      <c r="W3494" s="44"/>
      <c r="X3494" s="44"/>
      <c r="Y3494" s="44"/>
    </row>
    <row r="3495" spans="14:25" ht="15" customHeight="1" x14ac:dyDescent="0.25">
      <c r="N3495" s="44"/>
      <c r="O3495" s="44"/>
      <c r="P3495" s="44"/>
      <c r="Q3495" s="44"/>
      <c r="R3495" s="44"/>
      <c r="S3495" s="44"/>
      <c r="T3495" s="44"/>
      <c r="U3495" s="44"/>
      <c r="V3495" s="44"/>
      <c r="W3495" s="44"/>
      <c r="X3495" s="44"/>
      <c r="Y3495" s="44"/>
    </row>
    <row r="3496" spans="14:25" ht="15" customHeight="1" x14ac:dyDescent="0.25">
      <c r="N3496" s="44"/>
      <c r="O3496" s="44"/>
      <c r="P3496" s="44"/>
      <c r="Q3496" s="44"/>
      <c r="R3496" s="44"/>
      <c r="S3496" s="44"/>
      <c r="T3496" s="44"/>
      <c r="U3496" s="44"/>
      <c r="V3496" s="44"/>
      <c r="W3496" s="44"/>
      <c r="X3496" s="44"/>
      <c r="Y3496" s="44"/>
    </row>
    <row r="3497" spans="14:25" ht="15" customHeight="1" x14ac:dyDescent="0.25">
      <c r="N3497" s="44"/>
      <c r="O3497" s="44"/>
      <c r="P3497" s="44"/>
      <c r="Q3497" s="44"/>
      <c r="R3497" s="44"/>
      <c r="S3497" s="44"/>
      <c r="T3497" s="44"/>
      <c r="U3497" s="44"/>
      <c r="V3497" s="44"/>
      <c r="W3497" s="44"/>
      <c r="X3497" s="44"/>
      <c r="Y3497" s="44"/>
    </row>
    <row r="3498" spans="14:25" ht="15" customHeight="1" x14ac:dyDescent="0.25">
      <c r="N3498" s="44"/>
      <c r="O3498" s="44"/>
      <c r="P3498" s="44"/>
      <c r="Q3498" s="44"/>
      <c r="R3498" s="44"/>
      <c r="S3498" s="44"/>
      <c r="T3498" s="44"/>
      <c r="U3498" s="44"/>
      <c r="V3498" s="44"/>
      <c r="W3498" s="44"/>
      <c r="X3498" s="44"/>
      <c r="Y3498" s="44"/>
    </row>
    <row r="3499" spans="14:25" ht="15" customHeight="1" x14ac:dyDescent="0.25">
      <c r="N3499" s="44"/>
      <c r="O3499" s="44"/>
      <c r="P3499" s="44"/>
      <c r="Q3499" s="44"/>
      <c r="R3499" s="44"/>
      <c r="S3499" s="44"/>
      <c r="T3499" s="44"/>
      <c r="U3499" s="44"/>
      <c r="V3499" s="44"/>
      <c r="W3499" s="44"/>
      <c r="X3499" s="44"/>
      <c r="Y3499" s="44"/>
    </row>
    <row r="3500" spans="14:25" ht="15" customHeight="1" x14ac:dyDescent="0.25">
      <c r="N3500" s="44"/>
      <c r="O3500" s="44"/>
      <c r="P3500" s="44"/>
      <c r="Q3500" s="44"/>
      <c r="R3500" s="44"/>
      <c r="S3500" s="44"/>
      <c r="T3500" s="44"/>
      <c r="U3500" s="44"/>
      <c r="V3500" s="44"/>
      <c r="W3500" s="44"/>
      <c r="X3500" s="44"/>
      <c r="Y3500" s="44"/>
    </row>
    <row r="3501" spans="14:25" ht="15" customHeight="1" x14ac:dyDescent="0.25">
      <c r="N3501" s="44"/>
      <c r="O3501" s="44"/>
      <c r="P3501" s="44"/>
      <c r="Q3501" s="44"/>
      <c r="R3501" s="44"/>
      <c r="S3501" s="44"/>
      <c r="T3501" s="44"/>
      <c r="U3501" s="44"/>
      <c r="V3501" s="44"/>
      <c r="W3501" s="44"/>
      <c r="X3501" s="44"/>
      <c r="Y3501" s="44"/>
    </row>
    <row r="3502" spans="14:25" ht="15" customHeight="1" x14ac:dyDescent="0.25">
      <c r="N3502" s="44"/>
      <c r="O3502" s="44"/>
      <c r="P3502" s="44"/>
      <c r="Q3502" s="44"/>
      <c r="R3502" s="44"/>
      <c r="S3502" s="44"/>
      <c r="T3502" s="44"/>
      <c r="U3502" s="44"/>
      <c r="V3502" s="44"/>
      <c r="W3502" s="44"/>
      <c r="X3502" s="44"/>
      <c r="Y3502" s="44"/>
    </row>
    <row r="3503" spans="14:25" ht="15" customHeight="1" x14ac:dyDescent="0.25">
      <c r="N3503" s="44"/>
      <c r="O3503" s="44"/>
      <c r="P3503" s="44"/>
      <c r="Q3503" s="44"/>
      <c r="R3503" s="44"/>
      <c r="S3503" s="44"/>
      <c r="T3503" s="44"/>
      <c r="U3503" s="44"/>
      <c r="V3503" s="44"/>
      <c r="W3503" s="44"/>
      <c r="X3503" s="44"/>
      <c r="Y3503" s="44"/>
    </row>
    <row r="3504" spans="14:25" ht="15" customHeight="1" x14ac:dyDescent="0.25">
      <c r="N3504" s="44"/>
      <c r="O3504" s="44"/>
      <c r="P3504" s="44"/>
      <c r="Q3504" s="44"/>
      <c r="R3504" s="44"/>
      <c r="S3504" s="44"/>
      <c r="T3504" s="44"/>
      <c r="U3504" s="44"/>
      <c r="V3504" s="44"/>
      <c r="W3504" s="44"/>
      <c r="X3504" s="44"/>
      <c r="Y3504" s="44"/>
    </row>
    <row r="3505" spans="14:25" ht="15" customHeight="1" x14ac:dyDescent="0.25">
      <c r="N3505" s="44"/>
      <c r="O3505" s="44"/>
      <c r="P3505" s="44"/>
      <c r="Q3505" s="44"/>
      <c r="R3505" s="44"/>
      <c r="S3505" s="44"/>
      <c r="T3505" s="44"/>
      <c r="U3505" s="44"/>
      <c r="V3505" s="44"/>
      <c r="W3505" s="44"/>
      <c r="X3505" s="44"/>
      <c r="Y3505" s="44"/>
    </row>
    <row r="3506" spans="14:25" ht="15" customHeight="1" x14ac:dyDescent="0.25">
      <c r="N3506" s="44"/>
      <c r="O3506" s="44"/>
      <c r="P3506" s="44"/>
      <c r="Q3506" s="44"/>
      <c r="R3506" s="44"/>
      <c r="S3506" s="44"/>
      <c r="T3506" s="44"/>
      <c r="U3506" s="44"/>
      <c r="V3506" s="44"/>
      <c r="W3506" s="44"/>
      <c r="X3506" s="44"/>
      <c r="Y3506" s="44"/>
    </row>
    <row r="3507" spans="14:25" ht="15" customHeight="1" x14ac:dyDescent="0.25">
      <c r="N3507" s="44"/>
      <c r="O3507" s="44"/>
      <c r="P3507" s="44"/>
      <c r="Q3507" s="44"/>
      <c r="R3507" s="44"/>
      <c r="S3507" s="44"/>
      <c r="T3507" s="44"/>
      <c r="U3507" s="44"/>
      <c r="V3507" s="44"/>
      <c r="W3507" s="44"/>
      <c r="X3507" s="44"/>
      <c r="Y3507" s="44"/>
    </row>
    <row r="3508" spans="14:25" ht="15" customHeight="1" x14ac:dyDescent="0.25">
      <c r="N3508" s="44"/>
      <c r="O3508" s="44"/>
      <c r="P3508" s="44"/>
      <c r="Q3508" s="44"/>
      <c r="R3508" s="44"/>
      <c r="S3508" s="44"/>
      <c r="T3508" s="44"/>
      <c r="U3508" s="44"/>
      <c r="V3508" s="44"/>
      <c r="W3508" s="44"/>
      <c r="X3508" s="44"/>
      <c r="Y3508" s="44"/>
    </row>
    <row r="3509" spans="14:25" ht="15" customHeight="1" x14ac:dyDescent="0.25">
      <c r="N3509" s="44"/>
      <c r="O3509" s="44"/>
      <c r="P3509" s="44"/>
      <c r="Q3509" s="44"/>
      <c r="R3509" s="44"/>
      <c r="S3509" s="44"/>
      <c r="T3509" s="44"/>
      <c r="U3509" s="44"/>
      <c r="V3509" s="44"/>
      <c r="W3509" s="44"/>
      <c r="X3509" s="44"/>
      <c r="Y3509" s="44"/>
    </row>
    <row r="3510" spans="14:25" ht="15" customHeight="1" x14ac:dyDescent="0.25">
      <c r="N3510" s="44"/>
      <c r="O3510" s="44"/>
      <c r="P3510" s="44"/>
      <c r="Q3510" s="44"/>
      <c r="R3510" s="44"/>
      <c r="S3510" s="44"/>
      <c r="T3510" s="44"/>
      <c r="U3510" s="44"/>
      <c r="V3510" s="44"/>
      <c r="W3510" s="44"/>
      <c r="X3510" s="44"/>
      <c r="Y3510" s="44"/>
    </row>
    <row r="3511" spans="14:25" ht="15" customHeight="1" x14ac:dyDescent="0.25">
      <c r="N3511" s="44"/>
      <c r="O3511" s="44"/>
      <c r="P3511" s="44"/>
      <c r="Q3511" s="44"/>
      <c r="R3511" s="44"/>
      <c r="S3511" s="44"/>
      <c r="T3511" s="44"/>
      <c r="U3511" s="44"/>
      <c r="V3511" s="44"/>
      <c r="W3511" s="44"/>
      <c r="X3511" s="44"/>
      <c r="Y3511" s="44"/>
    </row>
    <row r="3512" spans="14:25" ht="15" customHeight="1" x14ac:dyDescent="0.25">
      <c r="N3512" s="44"/>
      <c r="O3512" s="44"/>
      <c r="P3512" s="44"/>
      <c r="Q3512" s="44"/>
      <c r="R3512" s="44"/>
      <c r="S3512" s="44"/>
      <c r="T3512" s="44"/>
      <c r="U3512" s="44"/>
      <c r="V3512" s="44"/>
      <c r="W3512" s="44"/>
      <c r="X3512" s="44"/>
      <c r="Y3512" s="44"/>
    </row>
    <row r="3513" spans="14:25" ht="15" customHeight="1" x14ac:dyDescent="0.25">
      <c r="N3513" s="44"/>
      <c r="O3513" s="44"/>
      <c r="P3513" s="44"/>
      <c r="Q3513" s="44"/>
      <c r="R3513" s="44"/>
      <c r="S3513" s="44"/>
      <c r="T3513" s="44"/>
      <c r="U3513" s="44"/>
      <c r="V3513" s="44"/>
      <c r="W3513" s="44"/>
      <c r="X3513" s="44"/>
      <c r="Y3513" s="44"/>
    </row>
    <row r="3514" spans="14:25" ht="15" customHeight="1" x14ac:dyDescent="0.25">
      <c r="N3514" s="44"/>
      <c r="O3514" s="44"/>
      <c r="P3514" s="44"/>
      <c r="Q3514" s="44"/>
      <c r="R3514" s="44"/>
      <c r="S3514" s="44"/>
      <c r="T3514" s="44"/>
      <c r="U3514" s="44"/>
      <c r="V3514" s="44"/>
      <c r="W3514" s="44"/>
      <c r="X3514" s="44"/>
      <c r="Y3514" s="44"/>
    </row>
    <row r="3515" spans="14:25" ht="15" customHeight="1" x14ac:dyDescent="0.25">
      <c r="N3515" s="44"/>
      <c r="O3515" s="44"/>
      <c r="P3515" s="44"/>
      <c r="Q3515" s="44"/>
      <c r="R3515" s="44"/>
      <c r="S3515" s="44"/>
      <c r="T3515" s="44"/>
      <c r="U3515" s="44"/>
      <c r="V3515" s="44"/>
      <c r="W3515" s="44"/>
      <c r="X3515" s="44"/>
      <c r="Y3515" s="44"/>
    </row>
    <row r="3516" spans="14:25" ht="15" customHeight="1" x14ac:dyDescent="0.25">
      <c r="N3516" s="44"/>
      <c r="O3516" s="44"/>
      <c r="P3516" s="44"/>
      <c r="Q3516" s="44"/>
      <c r="R3516" s="44"/>
      <c r="S3516" s="44"/>
      <c r="T3516" s="44"/>
      <c r="U3516" s="44"/>
      <c r="V3516" s="44"/>
      <c r="W3516" s="44"/>
      <c r="X3516" s="44"/>
      <c r="Y3516" s="44"/>
    </row>
    <row r="3517" spans="14:25" ht="15" customHeight="1" x14ac:dyDescent="0.25">
      <c r="N3517" s="44"/>
      <c r="O3517" s="44"/>
      <c r="P3517" s="44"/>
      <c r="Q3517" s="44"/>
      <c r="R3517" s="44"/>
      <c r="S3517" s="44"/>
      <c r="T3517" s="44"/>
      <c r="U3517" s="44"/>
      <c r="V3517" s="44"/>
      <c r="W3517" s="44"/>
      <c r="X3517" s="44"/>
      <c r="Y3517" s="44"/>
    </row>
    <row r="3518" spans="14:25" ht="15" customHeight="1" x14ac:dyDescent="0.25">
      <c r="N3518" s="44"/>
      <c r="O3518" s="44"/>
      <c r="P3518" s="44"/>
      <c r="Q3518" s="44"/>
      <c r="R3518" s="44"/>
      <c r="S3518" s="44"/>
      <c r="T3518" s="44"/>
      <c r="U3518" s="44"/>
      <c r="V3518" s="44"/>
      <c r="W3518" s="44"/>
      <c r="X3518" s="44"/>
      <c r="Y3518" s="44"/>
    </row>
    <row r="3519" spans="14:25" ht="15" customHeight="1" x14ac:dyDescent="0.25">
      <c r="N3519" s="44"/>
      <c r="O3519" s="44"/>
      <c r="P3519" s="44"/>
      <c r="Q3519" s="44"/>
      <c r="R3519" s="44"/>
      <c r="S3519" s="44"/>
      <c r="T3519" s="44"/>
      <c r="U3519" s="44"/>
      <c r="V3519" s="44"/>
      <c r="W3519" s="44"/>
      <c r="X3519" s="44"/>
      <c r="Y3519" s="44"/>
    </row>
    <row r="3520" spans="14:25" ht="15" customHeight="1" x14ac:dyDescent="0.25">
      <c r="N3520" s="44"/>
      <c r="O3520" s="44"/>
      <c r="P3520" s="44"/>
      <c r="Q3520" s="44"/>
      <c r="R3520" s="44"/>
      <c r="S3520" s="44"/>
      <c r="T3520" s="44"/>
      <c r="U3520" s="44"/>
      <c r="V3520" s="44"/>
      <c r="W3520" s="44"/>
      <c r="X3520" s="44"/>
      <c r="Y3520" s="44"/>
    </row>
    <row r="3521" spans="14:25" ht="15" customHeight="1" x14ac:dyDescent="0.25">
      <c r="N3521" s="44"/>
      <c r="O3521" s="44"/>
      <c r="P3521" s="44"/>
      <c r="Q3521" s="44"/>
      <c r="R3521" s="44"/>
      <c r="S3521" s="44"/>
      <c r="T3521" s="44"/>
      <c r="U3521" s="44"/>
      <c r="V3521" s="44"/>
      <c r="W3521" s="44"/>
      <c r="X3521" s="44"/>
      <c r="Y3521" s="44"/>
    </row>
    <row r="3522" spans="14:25" ht="15" customHeight="1" x14ac:dyDescent="0.25">
      <c r="N3522" s="44"/>
      <c r="O3522" s="44"/>
      <c r="P3522" s="44"/>
      <c r="Q3522" s="44"/>
      <c r="R3522" s="44"/>
      <c r="S3522" s="44"/>
      <c r="T3522" s="44"/>
      <c r="U3522" s="44"/>
      <c r="V3522" s="44"/>
      <c r="W3522" s="44"/>
      <c r="X3522" s="44"/>
      <c r="Y3522" s="44"/>
    </row>
    <row r="3523" spans="14:25" ht="15" customHeight="1" x14ac:dyDescent="0.25">
      <c r="N3523" s="44"/>
      <c r="O3523" s="44"/>
      <c r="P3523" s="44"/>
      <c r="Q3523" s="44"/>
      <c r="R3523" s="44"/>
      <c r="S3523" s="44"/>
      <c r="T3523" s="44"/>
      <c r="U3523" s="44"/>
      <c r="V3523" s="44"/>
      <c r="W3523" s="44"/>
      <c r="X3523" s="44"/>
      <c r="Y3523" s="44"/>
    </row>
    <row r="3524" spans="14:25" ht="15" customHeight="1" x14ac:dyDescent="0.25">
      <c r="N3524" s="44"/>
      <c r="O3524" s="44"/>
      <c r="P3524" s="44"/>
      <c r="Q3524" s="44"/>
      <c r="R3524" s="44"/>
      <c r="S3524" s="44"/>
      <c r="T3524" s="44"/>
      <c r="U3524" s="44"/>
      <c r="V3524" s="44"/>
      <c r="W3524" s="44"/>
      <c r="X3524" s="44"/>
      <c r="Y3524" s="44"/>
    </row>
    <row r="3525" spans="14:25" ht="15" customHeight="1" x14ac:dyDescent="0.25">
      <c r="N3525" s="44"/>
      <c r="O3525" s="44"/>
      <c r="P3525" s="44"/>
      <c r="Q3525" s="44"/>
      <c r="R3525" s="44"/>
      <c r="S3525" s="44"/>
      <c r="T3525" s="44"/>
      <c r="U3525" s="44"/>
      <c r="V3525" s="44"/>
      <c r="W3525" s="44"/>
      <c r="X3525" s="44"/>
      <c r="Y3525" s="44"/>
    </row>
    <row r="3526" spans="14:25" ht="15" customHeight="1" x14ac:dyDescent="0.25">
      <c r="N3526" s="44"/>
      <c r="O3526" s="44"/>
      <c r="P3526" s="44"/>
      <c r="Q3526" s="44"/>
      <c r="R3526" s="44"/>
      <c r="S3526" s="44"/>
      <c r="T3526" s="44"/>
      <c r="U3526" s="44"/>
      <c r="V3526" s="44"/>
      <c r="W3526" s="44"/>
      <c r="X3526" s="44"/>
      <c r="Y3526" s="44"/>
    </row>
    <row r="3527" spans="14:25" ht="15" customHeight="1" x14ac:dyDescent="0.25">
      <c r="N3527" s="44"/>
      <c r="O3527" s="44"/>
      <c r="P3527" s="44"/>
      <c r="Q3527" s="44"/>
      <c r="R3527" s="44"/>
      <c r="S3527" s="44"/>
      <c r="T3527" s="44"/>
      <c r="U3527" s="44"/>
      <c r="V3527" s="44"/>
      <c r="W3527" s="44"/>
      <c r="X3527" s="44"/>
      <c r="Y3527" s="44"/>
    </row>
    <row r="3528" spans="14:25" ht="15" customHeight="1" x14ac:dyDescent="0.25">
      <c r="N3528" s="44"/>
      <c r="O3528" s="44"/>
      <c r="P3528" s="44"/>
      <c r="Q3528" s="44"/>
      <c r="R3528" s="44"/>
      <c r="S3528" s="44"/>
      <c r="T3528" s="44"/>
      <c r="U3528" s="44"/>
      <c r="V3528" s="44"/>
      <c r="W3528" s="44"/>
      <c r="X3528" s="44"/>
      <c r="Y3528" s="44"/>
    </row>
    <row r="3529" spans="14:25" ht="15" customHeight="1" x14ac:dyDescent="0.25">
      <c r="N3529" s="44"/>
      <c r="O3529" s="44"/>
      <c r="P3529" s="44"/>
      <c r="Q3529" s="44"/>
      <c r="R3529" s="44"/>
      <c r="S3529" s="44"/>
      <c r="T3529" s="44"/>
      <c r="U3529" s="44"/>
      <c r="V3529" s="44"/>
      <c r="W3529" s="44"/>
      <c r="X3529" s="44"/>
      <c r="Y3529" s="44"/>
    </row>
    <row r="3530" spans="14:25" ht="15" customHeight="1" x14ac:dyDescent="0.25">
      <c r="N3530" s="44"/>
      <c r="O3530" s="44"/>
      <c r="P3530" s="44"/>
      <c r="Q3530" s="44"/>
      <c r="R3530" s="44"/>
      <c r="S3530" s="44"/>
      <c r="T3530" s="44"/>
      <c r="U3530" s="44"/>
      <c r="V3530" s="44"/>
      <c r="W3530" s="44"/>
      <c r="X3530" s="44"/>
      <c r="Y3530" s="44"/>
    </row>
    <row r="3531" spans="14:25" ht="15" customHeight="1" x14ac:dyDescent="0.25">
      <c r="N3531" s="44"/>
      <c r="O3531" s="44"/>
      <c r="P3531" s="44"/>
      <c r="Q3531" s="44"/>
      <c r="R3531" s="44"/>
      <c r="S3531" s="44"/>
      <c r="T3531" s="44"/>
      <c r="U3531" s="44"/>
      <c r="V3531" s="44"/>
      <c r="W3531" s="44"/>
      <c r="X3531" s="44"/>
      <c r="Y3531" s="44"/>
    </row>
    <row r="3532" spans="14:25" ht="15" customHeight="1" x14ac:dyDescent="0.25">
      <c r="N3532" s="44"/>
      <c r="O3532" s="44"/>
      <c r="P3532" s="44"/>
      <c r="Q3532" s="44"/>
      <c r="R3532" s="44"/>
      <c r="S3532" s="44"/>
      <c r="T3532" s="44"/>
      <c r="U3532" s="44"/>
      <c r="V3532" s="44"/>
      <c r="W3532" s="44"/>
      <c r="X3532" s="44"/>
      <c r="Y3532" s="44"/>
    </row>
    <row r="3533" spans="14:25" ht="15" customHeight="1" x14ac:dyDescent="0.25">
      <c r="N3533" s="44"/>
      <c r="O3533" s="44"/>
      <c r="P3533" s="44"/>
      <c r="Q3533" s="44"/>
      <c r="R3533" s="44"/>
      <c r="S3533" s="44"/>
      <c r="T3533" s="44"/>
      <c r="U3533" s="44"/>
      <c r="V3533" s="44"/>
      <c r="W3533" s="44"/>
      <c r="X3533" s="44"/>
      <c r="Y3533" s="44"/>
    </row>
    <row r="3534" spans="14:25" ht="15" customHeight="1" x14ac:dyDescent="0.25">
      <c r="N3534" s="44"/>
      <c r="O3534" s="44"/>
      <c r="P3534" s="44"/>
      <c r="Q3534" s="44"/>
      <c r="R3534" s="44"/>
      <c r="S3534" s="44"/>
      <c r="T3534" s="44"/>
      <c r="U3534" s="44"/>
      <c r="V3534" s="44"/>
      <c r="W3534" s="44"/>
      <c r="X3534" s="44"/>
      <c r="Y3534" s="44"/>
    </row>
    <row r="3535" spans="14:25" ht="15" customHeight="1" x14ac:dyDescent="0.25">
      <c r="N3535" s="44"/>
      <c r="O3535" s="44"/>
      <c r="P3535" s="44"/>
      <c r="Q3535" s="44"/>
      <c r="R3535" s="44"/>
      <c r="S3535" s="44"/>
      <c r="T3535" s="44"/>
      <c r="U3535" s="44"/>
      <c r="V3535" s="44"/>
      <c r="W3535" s="44"/>
      <c r="X3535" s="44"/>
      <c r="Y3535" s="44"/>
    </row>
    <row r="3536" spans="14:25" ht="15" customHeight="1" x14ac:dyDescent="0.25">
      <c r="N3536" s="44"/>
      <c r="O3536" s="44"/>
      <c r="P3536" s="44"/>
      <c r="Q3536" s="44"/>
      <c r="R3536" s="44"/>
      <c r="S3536" s="44"/>
      <c r="T3536" s="44"/>
      <c r="U3536" s="44"/>
      <c r="V3536" s="44"/>
      <c r="W3536" s="44"/>
      <c r="X3536" s="44"/>
      <c r="Y3536" s="44"/>
    </row>
    <row r="3537" spans="14:25" ht="15" customHeight="1" x14ac:dyDescent="0.25">
      <c r="N3537" s="44"/>
      <c r="O3537" s="44"/>
      <c r="P3537" s="44"/>
      <c r="Q3537" s="44"/>
      <c r="R3537" s="44"/>
      <c r="S3537" s="44"/>
      <c r="T3537" s="44"/>
      <c r="U3537" s="44"/>
      <c r="V3537" s="44"/>
      <c r="W3537" s="44"/>
      <c r="X3537" s="44"/>
      <c r="Y3537" s="44"/>
    </row>
    <row r="3538" spans="14:25" ht="15" customHeight="1" x14ac:dyDescent="0.25">
      <c r="N3538" s="44"/>
      <c r="O3538" s="44"/>
      <c r="P3538" s="44"/>
      <c r="Q3538" s="44"/>
      <c r="R3538" s="44"/>
      <c r="S3538" s="44"/>
      <c r="T3538" s="44"/>
      <c r="U3538" s="44"/>
      <c r="V3538" s="44"/>
      <c r="W3538" s="44"/>
      <c r="X3538" s="44"/>
      <c r="Y3538" s="44"/>
    </row>
    <row r="3539" spans="14:25" ht="15" customHeight="1" x14ac:dyDescent="0.25">
      <c r="N3539" s="44"/>
      <c r="O3539" s="44"/>
      <c r="P3539" s="44"/>
      <c r="Q3539" s="44"/>
      <c r="R3539" s="44"/>
      <c r="S3539" s="44"/>
      <c r="T3539" s="44"/>
      <c r="U3539" s="44"/>
      <c r="V3539" s="44"/>
      <c r="W3539" s="44"/>
      <c r="X3539" s="44"/>
      <c r="Y3539" s="44"/>
    </row>
    <row r="3540" spans="14:25" ht="15" customHeight="1" x14ac:dyDescent="0.25">
      <c r="N3540" s="44"/>
      <c r="O3540" s="44"/>
      <c r="P3540" s="44"/>
      <c r="Q3540" s="44"/>
      <c r="R3540" s="44"/>
      <c r="S3540" s="44"/>
      <c r="T3540" s="44"/>
      <c r="U3540" s="44"/>
      <c r="V3540" s="44"/>
      <c r="W3540" s="44"/>
      <c r="X3540" s="44"/>
      <c r="Y3540" s="44"/>
    </row>
    <row r="3541" spans="14:25" ht="15" customHeight="1" x14ac:dyDescent="0.25">
      <c r="N3541" s="44"/>
      <c r="O3541" s="44"/>
      <c r="P3541" s="44"/>
      <c r="Q3541" s="44"/>
      <c r="R3541" s="44"/>
      <c r="S3541" s="44"/>
      <c r="T3541" s="44"/>
      <c r="U3541" s="44"/>
      <c r="V3541" s="44"/>
      <c r="W3541" s="44"/>
      <c r="X3541" s="44"/>
      <c r="Y3541" s="44"/>
    </row>
    <row r="3542" spans="14:25" ht="15" customHeight="1" x14ac:dyDescent="0.25">
      <c r="N3542" s="44"/>
      <c r="O3542" s="44"/>
      <c r="P3542" s="44"/>
      <c r="Q3542" s="44"/>
      <c r="R3542" s="44"/>
      <c r="S3542" s="44"/>
      <c r="T3542" s="44"/>
      <c r="U3542" s="44"/>
      <c r="V3542" s="44"/>
      <c r="W3542" s="44"/>
      <c r="X3542" s="44"/>
      <c r="Y3542" s="44"/>
    </row>
    <row r="3543" spans="14:25" ht="15" customHeight="1" x14ac:dyDescent="0.25">
      <c r="N3543" s="44"/>
      <c r="O3543" s="44"/>
      <c r="P3543" s="44"/>
      <c r="Q3543" s="44"/>
      <c r="R3543" s="44"/>
      <c r="S3543" s="44"/>
      <c r="T3543" s="44"/>
      <c r="U3543" s="44"/>
      <c r="V3543" s="44"/>
      <c r="W3543" s="44"/>
      <c r="X3543" s="44"/>
      <c r="Y3543" s="44"/>
    </row>
    <row r="3544" spans="14:25" ht="15" customHeight="1" x14ac:dyDescent="0.25">
      <c r="N3544" s="44"/>
      <c r="O3544" s="44"/>
      <c r="P3544" s="44"/>
      <c r="Q3544" s="44"/>
      <c r="R3544" s="44"/>
      <c r="S3544" s="44"/>
      <c r="T3544" s="44"/>
      <c r="U3544" s="44"/>
      <c r="V3544" s="44"/>
      <c r="W3544" s="44"/>
      <c r="X3544" s="44"/>
      <c r="Y3544" s="44"/>
    </row>
    <row r="3545" spans="14:25" ht="15" customHeight="1" x14ac:dyDescent="0.25">
      <c r="N3545" s="44"/>
      <c r="O3545" s="44"/>
      <c r="P3545" s="44"/>
      <c r="Q3545" s="44"/>
      <c r="R3545" s="44"/>
      <c r="S3545" s="44"/>
      <c r="T3545" s="44"/>
      <c r="U3545" s="44"/>
      <c r="V3545" s="44"/>
      <c r="W3545" s="44"/>
      <c r="X3545" s="44"/>
      <c r="Y3545" s="44"/>
    </row>
    <row r="3546" spans="14:25" ht="15" customHeight="1" x14ac:dyDescent="0.25">
      <c r="N3546" s="44"/>
      <c r="O3546" s="44"/>
      <c r="P3546" s="44"/>
      <c r="Q3546" s="44"/>
      <c r="R3546" s="44"/>
      <c r="S3546" s="44"/>
      <c r="T3546" s="44"/>
      <c r="U3546" s="44"/>
      <c r="V3546" s="44"/>
      <c r="W3546" s="44"/>
      <c r="X3546" s="44"/>
      <c r="Y3546" s="44"/>
    </row>
    <row r="3547" spans="14:25" ht="15" customHeight="1" x14ac:dyDescent="0.25">
      <c r="N3547" s="44"/>
      <c r="O3547" s="44"/>
      <c r="P3547" s="44"/>
      <c r="Q3547" s="44"/>
      <c r="R3547" s="44"/>
      <c r="S3547" s="44"/>
      <c r="T3547" s="44"/>
      <c r="U3547" s="44"/>
      <c r="V3547" s="44"/>
      <c r="W3547" s="44"/>
      <c r="X3547" s="44"/>
      <c r="Y3547" s="44"/>
    </row>
    <row r="3548" spans="14:25" ht="15" customHeight="1" x14ac:dyDescent="0.25">
      <c r="N3548" s="44"/>
      <c r="O3548" s="44"/>
      <c r="P3548" s="44"/>
      <c r="Q3548" s="44"/>
      <c r="R3548" s="44"/>
      <c r="S3548" s="44"/>
      <c r="T3548" s="44"/>
      <c r="U3548" s="44"/>
      <c r="V3548" s="44"/>
      <c r="W3548" s="44"/>
      <c r="X3548" s="44"/>
      <c r="Y3548" s="44"/>
    </row>
    <row r="3549" spans="14:25" ht="15" customHeight="1" x14ac:dyDescent="0.25">
      <c r="N3549" s="44"/>
      <c r="O3549" s="44"/>
      <c r="P3549" s="44"/>
      <c r="Q3549" s="44"/>
      <c r="R3549" s="44"/>
      <c r="S3549" s="44"/>
      <c r="T3549" s="44"/>
      <c r="U3549" s="44"/>
      <c r="V3549" s="44"/>
      <c r="W3549" s="44"/>
      <c r="X3549" s="44"/>
      <c r="Y3549" s="44"/>
    </row>
    <row r="3550" spans="14:25" ht="15" customHeight="1" x14ac:dyDescent="0.25">
      <c r="N3550" s="44"/>
      <c r="O3550" s="44"/>
      <c r="P3550" s="44"/>
      <c r="Q3550" s="44"/>
      <c r="R3550" s="44"/>
      <c r="S3550" s="44"/>
      <c r="T3550" s="44"/>
      <c r="U3550" s="44"/>
      <c r="V3550" s="44"/>
      <c r="W3550" s="44"/>
      <c r="X3550" s="44"/>
      <c r="Y3550" s="44"/>
    </row>
    <row r="3551" spans="14:25" ht="15" customHeight="1" x14ac:dyDescent="0.25">
      <c r="N3551" s="44"/>
      <c r="O3551" s="44"/>
      <c r="P3551" s="44"/>
      <c r="Q3551" s="44"/>
      <c r="R3551" s="44"/>
      <c r="S3551" s="44"/>
      <c r="T3551" s="44"/>
      <c r="U3551" s="44"/>
      <c r="V3551" s="44"/>
      <c r="W3551" s="44"/>
      <c r="X3551" s="44"/>
      <c r="Y3551" s="44"/>
    </row>
    <row r="3552" spans="14:25" ht="15" customHeight="1" x14ac:dyDescent="0.25">
      <c r="N3552" s="44"/>
      <c r="O3552" s="44"/>
      <c r="P3552" s="44"/>
      <c r="Q3552" s="44"/>
      <c r="R3552" s="44"/>
      <c r="S3552" s="44"/>
      <c r="T3552" s="44"/>
      <c r="U3552" s="44"/>
      <c r="V3552" s="44"/>
      <c r="W3552" s="44"/>
      <c r="X3552" s="44"/>
      <c r="Y3552" s="44"/>
    </row>
    <row r="3553" spans="14:25" ht="15" customHeight="1" x14ac:dyDescent="0.25">
      <c r="N3553" s="44"/>
      <c r="O3553" s="44"/>
      <c r="P3553" s="44"/>
      <c r="Q3553" s="44"/>
      <c r="R3553" s="44"/>
      <c r="S3553" s="44"/>
      <c r="T3553" s="44"/>
      <c r="U3553" s="44"/>
      <c r="V3553" s="44"/>
      <c r="W3553" s="44"/>
      <c r="X3553" s="44"/>
      <c r="Y3553" s="44"/>
    </row>
    <row r="3554" spans="14:25" ht="15" customHeight="1" x14ac:dyDescent="0.25">
      <c r="N3554" s="44"/>
      <c r="O3554" s="44"/>
      <c r="P3554" s="44"/>
      <c r="Q3554" s="44"/>
      <c r="R3554" s="44"/>
      <c r="S3554" s="44"/>
      <c r="T3554" s="44"/>
      <c r="U3554" s="44"/>
      <c r="V3554" s="44"/>
      <c r="W3554" s="44"/>
      <c r="X3554" s="44"/>
      <c r="Y3554" s="44"/>
    </row>
    <row r="3555" spans="14:25" ht="15" customHeight="1" x14ac:dyDescent="0.25">
      <c r="N3555" s="44"/>
      <c r="O3555" s="44"/>
      <c r="P3555" s="44"/>
      <c r="Q3555" s="44"/>
      <c r="R3555" s="44"/>
      <c r="S3555" s="44"/>
      <c r="T3555" s="44"/>
      <c r="U3555" s="44"/>
      <c r="V3555" s="44"/>
      <c r="W3555" s="44"/>
      <c r="X3555" s="44"/>
      <c r="Y3555" s="44"/>
    </row>
    <row r="3556" spans="14:25" ht="15" customHeight="1" x14ac:dyDescent="0.25">
      <c r="N3556" s="44"/>
      <c r="O3556" s="44"/>
      <c r="P3556" s="44"/>
      <c r="Q3556" s="44"/>
      <c r="R3556" s="44"/>
      <c r="S3556" s="44"/>
      <c r="T3556" s="44"/>
      <c r="U3556" s="44"/>
      <c r="V3556" s="44"/>
      <c r="W3556" s="44"/>
      <c r="X3556" s="44"/>
      <c r="Y3556" s="44"/>
    </row>
    <row r="3557" spans="14:25" ht="15" customHeight="1" x14ac:dyDescent="0.25">
      <c r="N3557" s="44"/>
      <c r="O3557" s="44"/>
      <c r="P3557" s="44"/>
      <c r="Q3557" s="44"/>
      <c r="R3557" s="44"/>
      <c r="S3557" s="44"/>
      <c r="T3557" s="44"/>
      <c r="U3557" s="44"/>
      <c r="V3557" s="44"/>
      <c r="W3557" s="44"/>
      <c r="X3557" s="44"/>
      <c r="Y3557" s="44"/>
    </row>
    <row r="3558" spans="14:25" ht="15" customHeight="1" x14ac:dyDescent="0.25">
      <c r="N3558" s="44"/>
      <c r="O3558" s="44"/>
      <c r="P3558" s="44"/>
      <c r="Q3558" s="44"/>
      <c r="R3558" s="44"/>
      <c r="S3558" s="44"/>
      <c r="T3558" s="44"/>
      <c r="U3558" s="44"/>
      <c r="V3558" s="44"/>
      <c r="W3558" s="44"/>
      <c r="X3558" s="44"/>
      <c r="Y3558" s="44"/>
    </row>
    <row r="3559" spans="14:25" ht="15" customHeight="1" x14ac:dyDescent="0.25">
      <c r="N3559" s="44"/>
      <c r="O3559" s="44"/>
      <c r="P3559" s="44"/>
      <c r="Q3559" s="44"/>
      <c r="R3559" s="44"/>
      <c r="S3559" s="44"/>
      <c r="T3559" s="44"/>
      <c r="U3559" s="44"/>
      <c r="V3559" s="44"/>
      <c r="W3559" s="44"/>
      <c r="X3559" s="44"/>
      <c r="Y3559" s="44"/>
    </row>
    <row r="3560" spans="14:25" ht="15" customHeight="1" x14ac:dyDescent="0.25">
      <c r="N3560" s="44"/>
      <c r="O3560" s="44"/>
      <c r="P3560" s="44"/>
      <c r="Q3560" s="44"/>
      <c r="R3560" s="44"/>
      <c r="S3560" s="44"/>
      <c r="T3560" s="44"/>
      <c r="U3560" s="44"/>
      <c r="V3560" s="44"/>
      <c r="W3560" s="44"/>
      <c r="X3560" s="44"/>
      <c r="Y3560" s="44"/>
    </row>
    <row r="3561" spans="14:25" ht="15" customHeight="1" x14ac:dyDescent="0.25">
      <c r="N3561" s="44"/>
      <c r="O3561" s="44"/>
      <c r="P3561" s="44"/>
      <c r="Q3561" s="44"/>
      <c r="R3561" s="44"/>
      <c r="S3561" s="44"/>
      <c r="T3561" s="44"/>
      <c r="U3561" s="44"/>
      <c r="V3561" s="44"/>
      <c r="W3561" s="44"/>
      <c r="X3561" s="44"/>
      <c r="Y3561" s="44"/>
    </row>
    <row r="3562" spans="14:25" ht="15" customHeight="1" x14ac:dyDescent="0.25">
      <c r="N3562" s="44"/>
      <c r="O3562" s="44"/>
      <c r="P3562" s="44"/>
      <c r="Q3562" s="44"/>
      <c r="R3562" s="44"/>
      <c r="S3562" s="44"/>
      <c r="T3562" s="44"/>
      <c r="U3562" s="44"/>
      <c r="V3562" s="44"/>
      <c r="W3562" s="44"/>
      <c r="X3562" s="44"/>
      <c r="Y3562" s="44"/>
    </row>
    <row r="3563" spans="14:25" ht="15" customHeight="1" x14ac:dyDescent="0.25">
      <c r="N3563" s="44"/>
      <c r="O3563" s="44"/>
      <c r="P3563" s="44"/>
      <c r="Q3563" s="44"/>
      <c r="R3563" s="44"/>
      <c r="S3563" s="44"/>
      <c r="T3563" s="44"/>
      <c r="U3563" s="44"/>
      <c r="V3563" s="44"/>
      <c r="W3563" s="44"/>
      <c r="X3563" s="44"/>
      <c r="Y3563" s="44"/>
    </row>
    <row r="3564" spans="14:25" ht="15" customHeight="1" x14ac:dyDescent="0.25">
      <c r="N3564" s="44"/>
      <c r="O3564" s="44"/>
      <c r="P3564" s="44"/>
      <c r="Q3564" s="44"/>
      <c r="R3564" s="44"/>
      <c r="S3564" s="44"/>
      <c r="T3564" s="44"/>
      <c r="U3564" s="44"/>
      <c r="V3564" s="44"/>
      <c r="W3564" s="44"/>
      <c r="X3564" s="44"/>
      <c r="Y3564" s="44"/>
    </row>
    <row r="3565" spans="14:25" ht="15" customHeight="1" x14ac:dyDescent="0.25">
      <c r="N3565" s="44"/>
      <c r="O3565" s="44"/>
      <c r="P3565" s="44"/>
      <c r="Q3565" s="44"/>
      <c r="R3565" s="44"/>
      <c r="S3565" s="44"/>
      <c r="T3565" s="44"/>
      <c r="U3565" s="44"/>
      <c r="V3565" s="44"/>
      <c r="W3565" s="44"/>
      <c r="X3565" s="44"/>
      <c r="Y3565" s="44"/>
    </row>
    <row r="3566" spans="14:25" ht="15" customHeight="1" x14ac:dyDescent="0.25">
      <c r="N3566" s="44"/>
      <c r="O3566" s="44"/>
      <c r="P3566" s="44"/>
      <c r="Q3566" s="44"/>
      <c r="R3566" s="44"/>
      <c r="S3566" s="44"/>
      <c r="T3566" s="44"/>
      <c r="U3566" s="44"/>
      <c r="V3566" s="44"/>
      <c r="W3566" s="44"/>
      <c r="X3566" s="44"/>
      <c r="Y3566" s="44"/>
    </row>
    <row r="3567" spans="14:25" ht="15" customHeight="1" x14ac:dyDescent="0.25">
      <c r="N3567" s="44"/>
      <c r="O3567" s="44"/>
      <c r="P3567" s="44"/>
      <c r="Q3567" s="44"/>
      <c r="R3567" s="44"/>
      <c r="S3567" s="44"/>
      <c r="T3567" s="44"/>
      <c r="U3567" s="44"/>
      <c r="V3567" s="44"/>
      <c r="W3567" s="44"/>
      <c r="X3567" s="44"/>
      <c r="Y3567" s="44"/>
    </row>
    <row r="3568" spans="14:25" ht="15" customHeight="1" x14ac:dyDescent="0.25">
      <c r="N3568" s="44"/>
      <c r="O3568" s="44"/>
      <c r="P3568" s="44"/>
      <c r="Q3568" s="44"/>
      <c r="R3568" s="44"/>
      <c r="S3568" s="44"/>
      <c r="T3568" s="44"/>
      <c r="U3568" s="44"/>
      <c r="V3568" s="44"/>
      <c r="W3568" s="44"/>
      <c r="X3568" s="44"/>
      <c r="Y3568" s="44"/>
    </row>
    <row r="3569" spans="14:25" ht="15" customHeight="1" x14ac:dyDescent="0.25">
      <c r="N3569" s="44"/>
      <c r="O3569" s="44"/>
      <c r="P3569" s="44"/>
      <c r="Q3569" s="44"/>
      <c r="R3569" s="44"/>
      <c r="S3569" s="44"/>
      <c r="T3569" s="44"/>
      <c r="U3569" s="44"/>
      <c r="V3569" s="44"/>
      <c r="W3569" s="44"/>
      <c r="X3569" s="44"/>
      <c r="Y3569" s="44"/>
    </row>
    <row r="3570" spans="14:25" ht="15" customHeight="1" x14ac:dyDescent="0.25">
      <c r="N3570" s="44"/>
      <c r="O3570" s="44"/>
      <c r="P3570" s="44"/>
      <c r="Q3570" s="44"/>
      <c r="R3570" s="44"/>
      <c r="S3570" s="44"/>
      <c r="T3570" s="44"/>
      <c r="U3570" s="44"/>
      <c r="V3570" s="44"/>
      <c r="W3570" s="44"/>
      <c r="X3570" s="44"/>
      <c r="Y3570" s="44"/>
    </row>
    <row r="3571" spans="14:25" ht="15" customHeight="1" x14ac:dyDescent="0.25">
      <c r="N3571" s="44"/>
      <c r="O3571" s="44"/>
      <c r="P3571" s="44"/>
      <c r="Q3571" s="44"/>
      <c r="R3571" s="44"/>
      <c r="S3571" s="44"/>
      <c r="T3571" s="44"/>
      <c r="U3571" s="44"/>
      <c r="V3571" s="44"/>
      <c r="W3571" s="44"/>
      <c r="X3571" s="44"/>
      <c r="Y3571" s="44"/>
    </row>
    <row r="3572" spans="14:25" ht="15" customHeight="1" x14ac:dyDescent="0.25">
      <c r="N3572" s="44"/>
      <c r="O3572" s="44"/>
      <c r="P3572" s="44"/>
      <c r="Q3572" s="44"/>
      <c r="R3572" s="44"/>
      <c r="S3572" s="44"/>
      <c r="T3572" s="44"/>
      <c r="U3572" s="44"/>
      <c r="V3572" s="44"/>
      <c r="W3572" s="44"/>
      <c r="X3572" s="44"/>
      <c r="Y3572" s="44"/>
    </row>
    <row r="3573" spans="14:25" ht="15" customHeight="1" x14ac:dyDescent="0.25">
      <c r="N3573" s="44"/>
      <c r="O3573" s="44"/>
      <c r="P3573" s="44"/>
      <c r="Q3573" s="44"/>
      <c r="R3573" s="44"/>
      <c r="S3573" s="44"/>
      <c r="T3573" s="44"/>
      <c r="U3573" s="44"/>
      <c r="V3573" s="44"/>
      <c r="W3573" s="44"/>
      <c r="X3573" s="44"/>
      <c r="Y3573" s="44"/>
    </row>
    <row r="3574" spans="14:25" ht="15" customHeight="1" x14ac:dyDescent="0.25">
      <c r="N3574" s="44"/>
      <c r="O3574" s="44"/>
      <c r="P3574" s="44"/>
      <c r="Q3574" s="44"/>
      <c r="R3574" s="44"/>
      <c r="S3574" s="44"/>
      <c r="T3574" s="44"/>
      <c r="U3574" s="44"/>
      <c r="V3574" s="44"/>
      <c r="W3574" s="44"/>
      <c r="X3574" s="44"/>
      <c r="Y3574" s="44"/>
    </row>
    <row r="3575" spans="14:25" ht="15" customHeight="1" x14ac:dyDescent="0.25">
      <c r="N3575" s="44"/>
      <c r="O3575" s="44"/>
      <c r="P3575" s="44"/>
      <c r="Q3575" s="44"/>
      <c r="R3575" s="44"/>
      <c r="S3575" s="44"/>
      <c r="T3575" s="44"/>
      <c r="U3575" s="44"/>
      <c r="V3575" s="44"/>
      <c r="W3575" s="44"/>
      <c r="X3575" s="44"/>
      <c r="Y3575" s="44"/>
    </row>
    <row r="3576" spans="14:25" ht="15" customHeight="1" x14ac:dyDescent="0.25">
      <c r="N3576" s="44"/>
      <c r="O3576" s="44"/>
      <c r="P3576" s="44"/>
      <c r="Q3576" s="44"/>
      <c r="R3576" s="44"/>
      <c r="S3576" s="44"/>
      <c r="T3576" s="44"/>
      <c r="U3576" s="44"/>
      <c r="V3576" s="44"/>
      <c r="W3576" s="44"/>
      <c r="X3576" s="44"/>
      <c r="Y3576" s="44"/>
    </row>
    <row r="3577" spans="14:25" ht="15" customHeight="1" x14ac:dyDescent="0.25">
      <c r="N3577" s="44"/>
      <c r="O3577" s="44"/>
      <c r="P3577" s="44"/>
      <c r="Q3577" s="44"/>
      <c r="R3577" s="44"/>
      <c r="S3577" s="44"/>
      <c r="T3577" s="44"/>
      <c r="U3577" s="44"/>
      <c r="V3577" s="44"/>
      <c r="W3577" s="44"/>
      <c r="X3577" s="44"/>
      <c r="Y3577" s="44"/>
    </row>
    <row r="3578" spans="14:25" ht="15" customHeight="1" x14ac:dyDescent="0.25">
      <c r="N3578" s="44"/>
      <c r="O3578" s="44"/>
      <c r="P3578" s="44"/>
      <c r="Q3578" s="44"/>
      <c r="R3578" s="44"/>
      <c r="S3578" s="44"/>
      <c r="T3578" s="44"/>
      <c r="U3578" s="44"/>
      <c r="V3578" s="44"/>
      <c r="W3578" s="44"/>
      <c r="X3578" s="44"/>
      <c r="Y3578" s="44"/>
    </row>
    <row r="3579" spans="14:25" ht="15" customHeight="1" x14ac:dyDescent="0.25">
      <c r="N3579" s="44"/>
      <c r="O3579" s="44"/>
      <c r="P3579" s="44"/>
      <c r="Q3579" s="44"/>
      <c r="R3579" s="44"/>
      <c r="S3579" s="44"/>
      <c r="T3579" s="44"/>
      <c r="U3579" s="44"/>
      <c r="V3579" s="44"/>
      <c r="W3579" s="44"/>
      <c r="X3579" s="44"/>
      <c r="Y3579" s="44"/>
    </row>
    <row r="3580" spans="14:25" ht="15" customHeight="1" x14ac:dyDescent="0.25">
      <c r="N3580" s="44"/>
      <c r="O3580" s="44"/>
      <c r="P3580" s="44"/>
      <c r="Q3580" s="44"/>
      <c r="R3580" s="44"/>
      <c r="S3580" s="44"/>
      <c r="T3580" s="44"/>
      <c r="U3580" s="44"/>
      <c r="V3580" s="44"/>
      <c r="W3580" s="44"/>
      <c r="X3580" s="44"/>
      <c r="Y3580" s="44"/>
    </row>
    <row r="3581" spans="14:25" ht="15" customHeight="1" x14ac:dyDescent="0.25">
      <c r="N3581" s="44"/>
      <c r="O3581" s="44"/>
      <c r="P3581" s="44"/>
      <c r="Q3581" s="44"/>
      <c r="R3581" s="44"/>
      <c r="S3581" s="44"/>
      <c r="T3581" s="44"/>
      <c r="U3581" s="44"/>
      <c r="V3581" s="44"/>
      <c r="W3581" s="44"/>
      <c r="X3581" s="44"/>
      <c r="Y3581" s="44"/>
    </row>
    <row r="3582" spans="14:25" ht="15" customHeight="1" x14ac:dyDescent="0.25">
      <c r="N3582" s="44"/>
      <c r="O3582" s="44"/>
      <c r="P3582" s="44"/>
      <c r="Q3582" s="44"/>
      <c r="R3582" s="44"/>
      <c r="S3582" s="44"/>
      <c r="T3582" s="44"/>
      <c r="U3582" s="44"/>
      <c r="V3582" s="44"/>
      <c r="W3582" s="44"/>
      <c r="X3582" s="44"/>
      <c r="Y3582" s="44"/>
    </row>
    <row r="3583" spans="14:25" ht="15" customHeight="1" x14ac:dyDescent="0.25">
      <c r="N3583" s="44"/>
      <c r="O3583" s="44"/>
      <c r="P3583" s="44"/>
      <c r="Q3583" s="44"/>
      <c r="R3583" s="44"/>
      <c r="S3583" s="44"/>
      <c r="T3583" s="44"/>
      <c r="U3583" s="44"/>
      <c r="V3583" s="44"/>
      <c r="W3583" s="44"/>
      <c r="X3583" s="44"/>
      <c r="Y3583" s="44"/>
    </row>
    <row r="3584" spans="14:25" ht="15" customHeight="1" x14ac:dyDescent="0.25">
      <c r="N3584" s="44"/>
      <c r="O3584" s="44"/>
      <c r="P3584" s="44"/>
      <c r="Q3584" s="44"/>
      <c r="R3584" s="44"/>
      <c r="S3584" s="44"/>
      <c r="T3584" s="44"/>
      <c r="U3584" s="44"/>
      <c r="V3584" s="44"/>
      <c r="W3584" s="44"/>
      <c r="X3584" s="44"/>
      <c r="Y3584" s="44"/>
    </row>
    <row r="3585" spans="14:25" ht="15" customHeight="1" x14ac:dyDescent="0.25">
      <c r="N3585" s="44"/>
      <c r="O3585" s="44"/>
      <c r="P3585" s="44"/>
      <c r="Q3585" s="44"/>
      <c r="R3585" s="44"/>
      <c r="S3585" s="44"/>
      <c r="T3585" s="44"/>
      <c r="U3585" s="44"/>
      <c r="V3585" s="44"/>
      <c r="W3585" s="44"/>
      <c r="X3585" s="44"/>
      <c r="Y3585" s="44"/>
    </row>
    <row r="3586" spans="14:25" ht="15" customHeight="1" x14ac:dyDescent="0.25">
      <c r="N3586" s="44"/>
      <c r="O3586" s="44"/>
      <c r="P3586" s="44"/>
      <c r="Q3586" s="44"/>
      <c r="R3586" s="44"/>
      <c r="S3586" s="44"/>
      <c r="T3586" s="44"/>
      <c r="U3586" s="44"/>
      <c r="V3586" s="44"/>
      <c r="W3586" s="44"/>
      <c r="X3586" s="44"/>
      <c r="Y3586" s="44"/>
    </row>
    <row r="3587" spans="14:25" ht="15" customHeight="1" x14ac:dyDescent="0.25">
      <c r="N3587" s="44"/>
      <c r="O3587" s="44"/>
      <c r="P3587" s="44"/>
      <c r="Q3587" s="44"/>
      <c r="R3587" s="44"/>
      <c r="S3587" s="44"/>
      <c r="T3587" s="44"/>
      <c r="U3587" s="44"/>
      <c r="V3587" s="44"/>
      <c r="W3587" s="44"/>
      <c r="X3587" s="44"/>
      <c r="Y3587" s="44"/>
    </row>
    <row r="3588" spans="14:25" ht="15" customHeight="1" x14ac:dyDescent="0.25">
      <c r="N3588" s="44"/>
      <c r="O3588" s="44"/>
      <c r="P3588" s="44"/>
      <c r="Q3588" s="44"/>
      <c r="R3588" s="44"/>
      <c r="S3588" s="44"/>
      <c r="T3588" s="44"/>
      <c r="U3588" s="44"/>
      <c r="V3588" s="44"/>
      <c r="W3588" s="44"/>
      <c r="X3588" s="44"/>
      <c r="Y3588" s="44"/>
    </row>
    <row r="3589" spans="14:25" ht="15" customHeight="1" x14ac:dyDescent="0.25">
      <c r="N3589" s="44"/>
      <c r="O3589" s="44"/>
      <c r="P3589" s="44"/>
      <c r="Q3589" s="44"/>
      <c r="R3589" s="44"/>
      <c r="S3589" s="44"/>
      <c r="T3589" s="44"/>
      <c r="U3589" s="44"/>
      <c r="V3589" s="44"/>
      <c r="W3589" s="44"/>
      <c r="X3589" s="44"/>
      <c r="Y3589" s="44"/>
    </row>
    <row r="3590" spans="14:25" ht="15" customHeight="1" x14ac:dyDescent="0.25">
      <c r="N3590" s="44"/>
      <c r="O3590" s="44"/>
      <c r="P3590" s="44"/>
      <c r="Q3590" s="44"/>
      <c r="R3590" s="44"/>
      <c r="S3590" s="44"/>
      <c r="T3590" s="44"/>
      <c r="U3590" s="44"/>
      <c r="V3590" s="44"/>
      <c r="W3590" s="44"/>
      <c r="X3590" s="44"/>
      <c r="Y3590" s="44"/>
    </row>
    <row r="3591" spans="14:25" ht="15" customHeight="1" x14ac:dyDescent="0.25">
      <c r="N3591" s="44"/>
      <c r="O3591" s="44"/>
      <c r="P3591" s="44"/>
      <c r="Q3591" s="44"/>
      <c r="R3591" s="44"/>
      <c r="S3591" s="44"/>
      <c r="T3591" s="44"/>
      <c r="U3591" s="44"/>
      <c r="V3591" s="44"/>
      <c r="W3591" s="44"/>
      <c r="X3591" s="44"/>
      <c r="Y3591" s="44"/>
    </row>
    <row r="3592" spans="14:25" ht="15" customHeight="1" x14ac:dyDescent="0.25">
      <c r="N3592" s="44"/>
      <c r="O3592" s="44"/>
      <c r="P3592" s="44"/>
      <c r="Q3592" s="44"/>
      <c r="R3592" s="44"/>
      <c r="S3592" s="44"/>
      <c r="T3592" s="44"/>
      <c r="U3592" s="44"/>
      <c r="V3592" s="44"/>
      <c r="W3592" s="44"/>
      <c r="X3592" s="44"/>
      <c r="Y3592" s="44"/>
    </row>
    <row r="3593" spans="14:25" ht="15" customHeight="1" x14ac:dyDescent="0.25">
      <c r="N3593" s="44"/>
      <c r="O3593" s="44"/>
      <c r="P3593" s="44"/>
      <c r="Q3593" s="44"/>
      <c r="R3593" s="44"/>
      <c r="S3593" s="44"/>
      <c r="T3593" s="44"/>
      <c r="U3593" s="44"/>
      <c r="V3593" s="44"/>
      <c r="W3593" s="44"/>
      <c r="X3593" s="44"/>
      <c r="Y3593" s="44"/>
    </row>
    <row r="3594" spans="14:25" ht="15" customHeight="1" x14ac:dyDescent="0.25">
      <c r="N3594" s="44"/>
      <c r="O3594" s="44"/>
      <c r="P3594" s="44"/>
      <c r="Q3594" s="44"/>
      <c r="R3594" s="44"/>
      <c r="S3594" s="44"/>
      <c r="T3594" s="44"/>
      <c r="U3594" s="44"/>
      <c r="V3594" s="44"/>
      <c r="W3594" s="44"/>
      <c r="X3594" s="44"/>
      <c r="Y3594" s="44"/>
    </row>
    <row r="3595" spans="14:25" ht="15" customHeight="1" x14ac:dyDescent="0.25">
      <c r="N3595" s="44"/>
      <c r="O3595" s="44"/>
      <c r="P3595" s="44"/>
      <c r="Q3595" s="44"/>
      <c r="R3595" s="44"/>
      <c r="S3595" s="44"/>
      <c r="T3595" s="44"/>
      <c r="U3595" s="44"/>
      <c r="V3595" s="44"/>
      <c r="W3595" s="44"/>
      <c r="X3595" s="44"/>
      <c r="Y3595" s="44"/>
    </row>
    <row r="3596" spans="14:25" ht="15" customHeight="1" x14ac:dyDescent="0.25">
      <c r="N3596" s="44"/>
      <c r="O3596" s="44"/>
      <c r="P3596" s="44"/>
      <c r="Q3596" s="44"/>
      <c r="R3596" s="44"/>
      <c r="S3596" s="44"/>
      <c r="T3596" s="44"/>
      <c r="U3596" s="44"/>
      <c r="V3596" s="44"/>
      <c r="W3596" s="44"/>
      <c r="X3596" s="44"/>
      <c r="Y3596" s="44"/>
    </row>
    <row r="3597" spans="14:25" ht="15" customHeight="1" x14ac:dyDescent="0.25">
      <c r="N3597" s="44"/>
      <c r="O3597" s="44"/>
      <c r="P3597" s="44"/>
      <c r="Q3597" s="44"/>
      <c r="R3597" s="44"/>
      <c r="S3597" s="44"/>
      <c r="T3597" s="44"/>
      <c r="U3597" s="44"/>
      <c r="V3597" s="44"/>
      <c r="W3597" s="44"/>
      <c r="X3597" s="44"/>
      <c r="Y3597" s="44"/>
    </row>
    <row r="3598" spans="14:25" ht="15" customHeight="1" x14ac:dyDescent="0.25">
      <c r="N3598" s="44"/>
      <c r="O3598" s="44"/>
      <c r="P3598" s="44"/>
      <c r="Q3598" s="44"/>
      <c r="R3598" s="44"/>
      <c r="S3598" s="44"/>
      <c r="T3598" s="44"/>
      <c r="U3598" s="44"/>
      <c r="V3598" s="44"/>
      <c r="W3598" s="44"/>
      <c r="X3598" s="44"/>
      <c r="Y3598" s="44"/>
    </row>
    <row r="3599" spans="14:25" ht="15" customHeight="1" x14ac:dyDescent="0.25">
      <c r="N3599" s="44"/>
      <c r="O3599" s="44"/>
      <c r="P3599" s="44"/>
      <c r="Q3599" s="44"/>
      <c r="R3599" s="44"/>
      <c r="S3599" s="44"/>
      <c r="T3599" s="44"/>
      <c r="U3599" s="44"/>
      <c r="V3599" s="44"/>
      <c r="W3599" s="44"/>
      <c r="X3599" s="44"/>
      <c r="Y3599" s="44"/>
    </row>
    <row r="3600" spans="14:25" ht="15" customHeight="1" x14ac:dyDescent="0.25">
      <c r="N3600" s="44"/>
      <c r="O3600" s="44"/>
      <c r="P3600" s="44"/>
      <c r="Q3600" s="44"/>
      <c r="R3600" s="44"/>
      <c r="S3600" s="44"/>
      <c r="T3600" s="44"/>
      <c r="U3600" s="44"/>
      <c r="V3600" s="44"/>
      <c r="W3600" s="44"/>
      <c r="X3600" s="44"/>
      <c r="Y3600" s="44"/>
    </row>
    <row r="3601" spans="14:25" ht="15" customHeight="1" x14ac:dyDescent="0.25">
      <c r="N3601" s="44"/>
      <c r="O3601" s="44"/>
      <c r="P3601" s="44"/>
      <c r="Q3601" s="44"/>
      <c r="R3601" s="44"/>
      <c r="S3601" s="44"/>
      <c r="T3601" s="44"/>
      <c r="U3601" s="44"/>
      <c r="V3601" s="44"/>
      <c r="W3601" s="44"/>
      <c r="X3601" s="44"/>
      <c r="Y3601" s="44"/>
    </row>
    <row r="3602" spans="14:25" ht="15" customHeight="1" x14ac:dyDescent="0.25">
      <c r="N3602" s="44"/>
      <c r="O3602" s="44"/>
      <c r="P3602" s="44"/>
      <c r="Q3602" s="44"/>
      <c r="R3602" s="44"/>
      <c r="S3602" s="44"/>
      <c r="T3602" s="44"/>
      <c r="U3602" s="44"/>
      <c r="V3602" s="44"/>
      <c r="W3602" s="44"/>
      <c r="X3602" s="44"/>
      <c r="Y3602" s="44"/>
    </row>
    <row r="3603" spans="14:25" ht="15" customHeight="1" x14ac:dyDescent="0.25">
      <c r="N3603" s="44"/>
      <c r="O3603" s="44"/>
      <c r="P3603" s="44"/>
      <c r="Q3603" s="44"/>
      <c r="R3603" s="44"/>
      <c r="S3603" s="44"/>
      <c r="T3603" s="44"/>
      <c r="U3603" s="44"/>
      <c r="V3603" s="44"/>
      <c r="W3603" s="44"/>
      <c r="X3603" s="44"/>
      <c r="Y3603" s="44"/>
    </row>
    <row r="3604" spans="14:25" ht="15" customHeight="1" x14ac:dyDescent="0.25">
      <c r="N3604" s="44"/>
      <c r="O3604" s="44"/>
      <c r="P3604" s="44"/>
      <c r="Q3604" s="44"/>
      <c r="R3604" s="44"/>
      <c r="S3604" s="44"/>
      <c r="T3604" s="44"/>
      <c r="U3604" s="44"/>
      <c r="V3604" s="44"/>
      <c r="W3604" s="44"/>
      <c r="X3604" s="44"/>
      <c r="Y3604" s="44"/>
    </row>
    <row r="3605" spans="14:25" ht="15" customHeight="1" x14ac:dyDescent="0.25">
      <c r="N3605" s="44"/>
      <c r="O3605" s="44"/>
      <c r="P3605" s="44"/>
      <c r="Q3605" s="44"/>
      <c r="R3605" s="44"/>
      <c r="S3605" s="44"/>
      <c r="T3605" s="44"/>
      <c r="U3605" s="44"/>
      <c r="V3605" s="44"/>
      <c r="W3605" s="44"/>
      <c r="X3605" s="44"/>
      <c r="Y3605" s="44"/>
    </row>
    <row r="3606" spans="14:25" ht="15" customHeight="1" x14ac:dyDescent="0.25">
      <c r="N3606" s="44"/>
      <c r="O3606" s="44"/>
      <c r="P3606" s="44"/>
      <c r="Q3606" s="44"/>
      <c r="R3606" s="44"/>
      <c r="S3606" s="44"/>
      <c r="T3606" s="44"/>
      <c r="U3606" s="44"/>
      <c r="V3606" s="44"/>
      <c r="W3606" s="44"/>
      <c r="X3606" s="44"/>
      <c r="Y3606" s="44"/>
    </row>
    <row r="3607" spans="14:25" ht="15" customHeight="1" x14ac:dyDescent="0.25">
      <c r="N3607" s="44"/>
      <c r="O3607" s="44"/>
      <c r="P3607" s="44"/>
      <c r="Q3607" s="44"/>
      <c r="R3607" s="44"/>
      <c r="S3607" s="44"/>
      <c r="T3607" s="44"/>
      <c r="U3607" s="44"/>
      <c r="V3607" s="44"/>
      <c r="W3607" s="44"/>
      <c r="X3607" s="44"/>
      <c r="Y3607" s="44"/>
    </row>
    <row r="3608" spans="14:25" ht="15" customHeight="1" x14ac:dyDescent="0.25">
      <c r="N3608" s="44"/>
      <c r="O3608" s="44"/>
      <c r="P3608" s="44"/>
      <c r="Q3608" s="44"/>
      <c r="R3608" s="44"/>
      <c r="S3608" s="44"/>
      <c r="T3608" s="44"/>
      <c r="U3608" s="44"/>
      <c r="V3608" s="44"/>
      <c r="W3608" s="44"/>
      <c r="X3608" s="44"/>
      <c r="Y3608" s="44"/>
    </row>
    <row r="3609" spans="14:25" ht="15" customHeight="1" x14ac:dyDescent="0.25">
      <c r="N3609" s="44"/>
      <c r="O3609" s="44"/>
      <c r="P3609" s="44"/>
      <c r="Q3609" s="44"/>
      <c r="R3609" s="44"/>
      <c r="S3609" s="44"/>
      <c r="T3609" s="44"/>
      <c r="U3609" s="44"/>
      <c r="V3609" s="44"/>
      <c r="W3609" s="44"/>
      <c r="X3609" s="44"/>
      <c r="Y3609" s="44"/>
    </row>
    <row r="3610" spans="14:25" ht="15" customHeight="1" x14ac:dyDescent="0.25">
      <c r="N3610" s="44"/>
      <c r="O3610" s="44"/>
      <c r="P3610" s="44"/>
      <c r="Q3610" s="44"/>
      <c r="R3610" s="44"/>
      <c r="S3610" s="44"/>
      <c r="T3610" s="44"/>
      <c r="U3610" s="44"/>
      <c r="V3610" s="44"/>
      <c r="W3610" s="44"/>
      <c r="X3610" s="44"/>
      <c r="Y3610" s="44"/>
    </row>
    <row r="3611" spans="14:25" ht="15" customHeight="1" x14ac:dyDescent="0.25">
      <c r="N3611" s="44"/>
      <c r="O3611" s="44"/>
      <c r="P3611" s="44"/>
      <c r="Q3611" s="44"/>
      <c r="R3611" s="44"/>
      <c r="S3611" s="44"/>
      <c r="T3611" s="44"/>
      <c r="U3611" s="44"/>
      <c r="V3611" s="44"/>
      <c r="W3611" s="44"/>
      <c r="X3611" s="44"/>
      <c r="Y3611" s="44"/>
    </row>
    <row r="3612" spans="14:25" ht="15" customHeight="1" x14ac:dyDescent="0.25">
      <c r="N3612" s="44"/>
      <c r="O3612" s="44"/>
      <c r="P3612" s="44"/>
      <c r="Q3612" s="44"/>
      <c r="R3612" s="44"/>
      <c r="S3612" s="44"/>
      <c r="T3612" s="44"/>
      <c r="U3612" s="44"/>
      <c r="V3612" s="44"/>
      <c r="W3612" s="44"/>
      <c r="X3612" s="44"/>
      <c r="Y3612" s="44"/>
    </row>
    <row r="3613" spans="14:25" ht="15" customHeight="1" x14ac:dyDescent="0.25">
      <c r="N3613" s="44"/>
      <c r="O3613" s="44"/>
      <c r="P3613" s="44"/>
      <c r="Q3613" s="44"/>
      <c r="R3613" s="44"/>
      <c r="S3613" s="44"/>
      <c r="T3613" s="44"/>
      <c r="U3613" s="44"/>
      <c r="V3613" s="44"/>
      <c r="W3613" s="44"/>
      <c r="X3613" s="44"/>
      <c r="Y3613" s="44"/>
    </row>
    <row r="3614" spans="14:25" ht="15" customHeight="1" x14ac:dyDescent="0.25">
      <c r="N3614" s="44"/>
      <c r="O3614" s="44"/>
      <c r="P3614" s="44"/>
      <c r="Q3614" s="44"/>
      <c r="R3614" s="44"/>
      <c r="S3614" s="44"/>
      <c r="T3614" s="44"/>
      <c r="U3614" s="44"/>
      <c r="V3614" s="44"/>
      <c r="W3614" s="44"/>
      <c r="X3614" s="44"/>
      <c r="Y3614" s="44"/>
    </row>
    <row r="3615" spans="14:25" ht="15" customHeight="1" x14ac:dyDescent="0.25">
      <c r="N3615" s="44"/>
      <c r="O3615" s="44"/>
      <c r="P3615" s="44"/>
      <c r="Q3615" s="44"/>
      <c r="R3615" s="44"/>
      <c r="S3615" s="44"/>
      <c r="T3615" s="44"/>
      <c r="U3615" s="44"/>
      <c r="V3615" s="44"/>
      <c r="W3615" s="44"/>
      <c r="X3615" s="44"/>
      <c r="Y3615" s="44"/>
    </row>
    <row r="3616" spans="14:25" ht="15" customHeight="1" x14ac:dyDescent="0.25">
      <c r="N3616" s="44"/>
      <c r="O3616" s="44"/>
      <c r="P3616" s="44"/>
      <c r="Q3616" s="44"/>
      <c r="R3616" s="44"/>
      <c r="S3616" s="44"/>
      <c r="T3616" s="44"/>
      <c r="U3616" s="44"/>
      <c r="V3616" s="44"/>
      <c r="W3616" s="44"/>
      <c r="X3616" s="44"/>
      <c r="Y3616" s="44"/>
    </row>
    <row r="3617" spans="14:25" ht="15" customHeight="1" x14ac:dyDescent="0.25">
      <c r="N3617" s="44"/>
      <c r="O3617" s="44"/>
      <c r="P3617" s="44"/>
      <c r="Q3617" s="44"/>
      <c r="R3617" s="44"/>
      <c r="S3617" s="44"/>
      <c r="T3617" s="44"/>
      <c r="U3617" s="44"/>
      <c r="V3617" s="44"/>
      <c r="W3617" s="44"/>
      <c r="X3617" s="44"/>
      <c r="Y3617" s="44"/>
    </row>
    <row r="3618" spans="14:25" ht="15" customHeight="1" x14ac:dyDescent="0.25">
      <c r="N3618" s="44"/>
      <c r="O3618" s="44"/>
      <c r="P3618" s="44"/>
      <c r="Q3618" s="44"/>
      <c r="R3618" s="44"/>
      <c r="S3618" s="44"/>
      <c r="T3618" s="44"/>
      <c r="U3618" s="44"/>
      <c r="V3618" s="44"/>
      <c r="W3618" s="44"/>
      <c r="X3618" s="44"/>
      <c r="Y3618" s="44"/>
    </row>
    <row r="3619" spans="14:25" ht="15" customHeight="1" x14ac:dyDescent="0.25">
      <c r="N3619" s="44"/>
      <c r="O3619" s="44"/>
      <c r="P3619" s="44"/>
      <c r="Q3619" s="44"/>
      <c r="R3619" s="44"/>
      <c r="S3619" s="44"/>
      <c r="T3619" s="44"/>
      <c r="U3619" s="44"/>
      <c r="V3619" s="44"/>
      <c r="W3619" s="44"/>
      <c r="X3619" s="44"/>
      <c r="Y3619" s="44"/>
    </row>
    <row r="3620" spans="14:25" ht="15" customHeight="1" x14ac:dyDescent="0.25">
      <c r="N3620" s="44"/>
      <c r="O3620" s="44"/>
      <c r="P3620" s="44"/>
      <c r="Q3620" s="44"/>
      <c r="R3620" s="44"/>
      <c r="S3620" s="44"/>
      <c r="T3620" s="44"/>
      <c r="U3620" s="44"/>
      <c r="V3620" s="44"/>
      <c r="W3620" s="44"/>
      <c r="X3620" s="44"/>
      <c r="Y3620" s="44"/>
    </row>
    <row r="3621" spans="14:25" ht="15" customHeight="1" x14ac:dyDescent="0.25">
      <c r="N3621" s="44"/>
      <c r="O3621" s="44"/>
      <c r="P3621" s="44"/>
      <c r="Q3621" s="44"/>
      <c r="R3621" s="44"/>
      <c r="S3621" s="44"/>
      <c r="T3621" s="44"/>
      <c r="U3621" s="44"/>
      <c r="V3621" s="44"/>
      <c r="W3621" s="44"/>
      <c r="X3621" s="44"/>
      <c r="Y3621" s="44"/>
    </row>
    <row r="3622" spans="14:25" ht="15" customHeight="1" x14ac:dyDescent="0.25">
      <c r="N3622" s="44"/>
      <c r="O3622" s="44"/>
      <c r="P3622" s="44"/>
      <c r="Q3622" s="44"/>
      <c r="R3622" s="44"/>
      <c r="S3622" s="44"/>
      <c r="T3622" s="44"/>
      <c r="U3622" s="44"/>
      <c r="V3622" s="44"/>
      <c r="W3622" s="44"/>
      <c r="X3622" s="44"/>
      <c r="Y3622" s="44"/>
    </row>
    <row r="3623" spans="14:25" ht="15" customHeight="1" x14ac:dyDescent="0.25">
      <c r="N3623" s="44"/>
      <c r="O3623" s="44"/>
      <c r="P3623" s="44"/>
      <c r="Q3623" s="44"/>
      <c r="R3623" s="44"/>
      <c r="S3623" s="44"/>
      <c r="T3623" s="44"/>
      <c r="U3623" s="44"/>
      <c r="V3623" s="44"/>
      <c r="W3623" s="44"/>
      <c r="X3623" s="44"/>
      <c r="Y3623" s="44"/>
    </row>
    <row r="3624" spans="14:25" ht="15" customHeight="1" x14ac:dyDescent="0.25">
      <c r="N3624" s="44"/>
      <c r="O3624" s="44"/>
      <c r="P3624" s="44"/>
      <c r="Q3624" s="44"/>
      <c r="R3624" s="44"/>
      <c r="S3624" s="44"/>
      <c r="T3624" s="44"/>
      <c r="U3624" s="44"/>
      <c r="V3624" s="44"/>
      <c r="W3624" s="44"/>
      <c r="X3624" s="44"/>
      <c r="Y3624" s="44"/>
    </row>
    <row r="3625" spans="14:25" ht="15" customHeight="1" x14ac:dyDescent="0.25">
      <c r="N3625" s="44"/>
      <c r="O3625" s="44"/>
      <c r="P3625" s="44"/>
      <c r="Q3625" s="44"/>
      <c r="R3625" s="44"/>
      <c r="S3625" s="44"/>
      <c r="T3625" s="44"/>
      <c r="U3625" s="44"/>
      <c r="V3625" s="44"/>
      <c r="W3625" s="44"/>
      <c r="X3625" s="44"/>
      <c r="Y3625" s="44"/>
    </row>
    <row r="3626" spans="14:25" ht="15" customHeight="1" x14ac:dyDescent="0.25">
      <c r="N3626" s="44"/>
      <c r="O3626" s="44"/>
      <c r="P3626" s="44"/>
      <c r="Q3626" s="44"/>
      <c r="R3626" s="44"/>
      <c r="S3626" s="44"/>
      <c r="T3626" s="44"/>
      <c r="U3626" s="44"/>
      <c r="V3626" s="44"/>
      <c r="W3626" s="44"/>
      <c r="X3626" s="44"/>
      <c r="Y3626" s="44"/>
    </row>
    <row r="3627" spans="14:25" ht="15" customHeight="1" x14ac:dyDescent="0.25">
      <c r="N3627" s="44"/>
      <c r="O3627" s="44"/>
      <c r="P3627" s="44"/>
      <c r="Q3627" s="44"/>
      <c r="R3627" s="44"/>
      <c r="S3627" s="44"/>
      <c r="T3627" s="44"/>
      <c r="U3627" s="44"/>
      <c r="V3627" s="44"/>
      <c r="W3627" s="44"/>
      <c r="X3627" s="44"/>
      <c r="Y3627" s="44"/>
    </row>
    <row r="3628" spans="14:25" ht="15" customHeight="1" x14ac:dyDescent="0.25">
      <c r="N3628" s="44"/>
      <c r="O3628" s="44"/>
      <c r="P3628" s="44"/>
      <c r="Q3628" s="44"/>
      <c r="R3628" s="44"/>
      <c r="S3628" s="44"/>
      <c r="T3628" s="44"/>
      <c r="U3628" s="44"/>
      <c r="V3628" s="44"/>
      <c r="W3628" s="44"/>
      <c r="X3628" s="44"/>
      <c r="Y3628" s="44"/>
    </row>
    <row r="3629" spans="14:25" ht="15" customHeight="1" x14ac:dyDescent="0.25">
      <c r="N3629" s="44"/>
      <c r="O3629" s="44"/>
      <c r="P3629" s="44"/>
      <c r="Q3629" s="44"/>
      <c r="R3629" s="44"/>
      <c r="S3629" s="44"/>
      <c r="T3629" s="44"/>
      <c r="U3629" s="44"/>
      <c r="V3629" s="44"/>
      <c r="W3629" s="44"/>
      <c r="X3629" s="44"/>
      <c r="Y3629" s="44"/>
    </row>
    <row r="3630" spans="14:25" ht="15" customHeight="1" x14ac:dyDescent="0.25">
      <c r="N3630" s="44"/>
      <c r="O3630" s="44"/>
      <c r="P3630" s="44"/>
      <c r="Q3630" s="44"/>
      <c r="R3630" s="44"/>
      <c r="S3630" s="44"/>
      <c r="T3630" s="44"/>
      <c r="U3630" s="44"/>
      <c r="V3630" s="44"/>
      <c r="W3630" s="44"/>
      <c r="X3630" s="44"/>
      <c r="Y3630" s="44"/>
    </row>
    <row r="3631" spans="14:25" ht="15" customHeight="1" x14ac:dyDescent="0.25">
      <c r="N3631" s="44"/>
      <c r="O3631" s="44"/>
      <c r="P3631" s="44"/>
      <c r="Q3631" s="44"/>
      <c r="R3631" s="44"/>
      <c r="S3631" s="44"/>
      <c r="T3631" s="44"/>
      <c r="U3631" s="44"/>
      <c r="V3631" s="44"/>
      <c r="W3631" s="44"/>
      <c r="X3631" s="44"/>
      <c r="Y3631" s="44"/>
    </row>
    <row r="3632" spans="14:25" ht="15" customHeight="1" x14ac:dyDescent="0.25">
      <c r="N3632" s="44"/>
      <c r="O3632" s="44"/>
      <c r="P3632" s="44"/>
      <c r="Q3632" s="44"/>
      <c r="R3632" s="44"/>
      <c r="S3632" s="44"/>
      <c r="T3632" s="44"/>
      <c r="U3632" s="44"/>
      <c r="V3632" s="44"/>
      <c r="W3632" s="44"/>
      <c r="X3632" s="44"/>
      <c r="Y3632" s="44"/>
    </row>
    <row r="3633" spans="14:25" ht="15" customHeight="1" x14ac:dyDescent="0.25">
      <c r="N3633" s="44"/>
      <c r="O3633" s="44"/>
      <c r="P3633" s="44"/>
      <c r="Q3633" s="44"/>
      <c r="R3633" s="44"/>
      <c r="S3633" s="44"/>
      <c r="T3633" s="44"/>
      <c r="U3633" s="44"/>
      <c r="V3633" s="44"/>
      <c r="W3633" s="44"/>
      <c r="X3633" s="44"/>
      <c r="Y3633" s="44"/>
    </row>
    <row r="3634" spans="14:25" ht="15" customHeight="1" x14ac:dyDescent="0.25">
      <c r="N3634" s="44"/>
      <c r="O3634" s="44"/>
      <c r="P3634" s="44"/>
      <c r="Q3634" s="44"/>
      <c r="R3634" s="44"/>
      <c r="S3634" s="44"/>
      <c r="T3634" s="44"/>
      <c r="U3634" s="44"/>
      <c r="V3634" s="44"/>
      <c r="W3634" s="44"/>
      <c r="X3634" s="44"/>
      <c r="Y3634" s="44"/>
    </row>
    <row r="3635" spans="14:25" ht="15" customHeight="1" x14ac:dyDescent="0.25">
      <c r="N3635" s="44"/>
      <c r="O3635" s="44"/>
      <c r="P3635" s="44"/>
      <c r="Q3635" s="44"/>
      <c r="R3635" s="44"/>
      <c r="S3635" s="44"/>
      <c r="T3635" s="44"/>
      <c r="U3635" s="44"/>
      <c r="V3635" s="44"/>
      <c r="W3635" s="44"/>
      <c r="X3635" s="44"/>
      <c r="Y3635" s="44"/>
    </row>
    <row r="3636" spans="14:25" ht="15" customHeight="1" x14ac:dyDescent="0.25">
      <c r="N3636" s="44"/>
      <c r="O3636" s="44"/>
      <c r="P3636" s="44"/>
      <c r="Q3636" s="44"/>
      <c r="R3636" s="44"/>
      <c r="S3636" s="44"/>
      <c r="T3636" s="44"/>
      <c r="U3636" s="44"/>
      <c r="V3636" s="44"/>
      <c r="W3636" s="44"/>
      <c r="X3636" s="44"/>
      <c r="Y3636" s="44"/>
    </row>
    <row r="3637" spans="14:25" ht="15" customHeight="1" x14ac:dyDescent="0.25">
      <c r="N3637" s="44"/>
      <c r="O3637" s="44"/>
      <c r="P3637" s="44"/>
      <c r="Q3637" s="44"/>
      <c r="R3637" s="44"/>
      <c r="S3637" s="44"/>
      <c r="T3637" s="44"/>
      <c r="U3637" s="44"/>
      <c r="V3637" s="44"/>
      <c r="W3637" s="44"/>
      <c r="X3637" s="44"/>
      <c r="Y3637" s="44"/>
    </row>
    <row r="3638" spans="14:25" ht="15" customHeight="1" x14ac:dyDescent="0.25">
      <c r="N3638" s="44"/>
      <c r="O3638" s="44"/>
      <c r="P3638" s="44"/>
      <c r="Q3638" s="44"/>
      <c r="R3638" s="44"/>
      <c r="S3638" s="44"/>
      <c r="T3638" s="44"/>
      <c r="U3638" s="44"/>
      <c r="V3638" s="44"/>
      <c r="W3638" s="44"/>
      <c r="X3638" s="44"/>
      <c r="Y3638" s="44"/>
    </row>
    <row r="3639" spans="14:25" ht="15" customHeight="1" x14ac:dyDescent="0.25">
      <c r="N3639" s="44"/>
      <c r="O3639" s="44"/>
      <c r="P3639" s="44"/>
      <c r="Q3639" s="44"/>
      <c r="R3639" s="44"/>
      <c r="S3639" s="44"/>
      <c r="T3639" s="44"/>
      <c r="U3639" s="44"/>
      <c r="V3639" s="44"/>
      <c r="W3639" s="44"/>
      <c r="X3639" s="44"/>
      <c r="Y3639" s="44"/>
    </row>
    <row r="3640" spans="14:25" ht="15" customHeight="1" x14ac:dyDescent="0.25">
      <c r="N3640" s="44"/>
      <c r="O3640" s="44"/>
      <c r="P3640" s="44"/>
      <c r="Q3640" s="44"/>
      <c r="R3640" s="44"/>
      <c r="S3640" s="44"/>
      <c r="T3640" s="44"/>
      <c r="U3640" s="44"/>
      <c r="V3640" s="44"/>
      <c r="W3640" s="44"/>
      <c r="X3640" s="44"/>
      <c r="Y3640" s="44"/>
    </row>
    <row r="3641" spans="14:25" ht="15" customHeight="1" x14ac:dyDescent="0.25">
      <c r="N3641" s="44"/>
      <c r="O3641" s="44"/>
      <c r="P3641" s="44"/>
      <c r="Q3641" s="44"/>
      <c r="R3641" s="44"/>
      <c r="S3641" s="44"/>
      <c r="T3641" s="44"/>
      <c r="U3641" s="44"/>
      <c r="V3641" s="44"/>
      <c r="W3641" s="44"/>
      <c r="X3641" s="44"/>
      <c r="Y3641" s="44"/>
    </row>
    <row r="3642" spans="14:25" ht="15" customHeight="1" x14ac:dyDescent="0.25">
      <c r="N3642" s="44"/>
      <c r="O3642" s="44"/>
      <c r="P3642" s="44"/>
      <c r="Q3642" s="44"/>
      <c r="R3642" s="44"/>
      <c r="S3642" s="44"/>
      <c r="T3642" s="44"/>
      <c r="U3642" s="44"/>
      <c r="V3642" s="44"/>
      <c r="W3642" s="44"/>
      <c r="X3642" s="44"/>
      <c r="Y3642" s="44"/>
    </row>
    <row r="3643" spans="14:25" ht="15" customHeight="1" x14ac:dyDescent="0.25">
      <c r="N3643" s="44"/>
      <c r="O3643" s="44"/>
      <c r="P3643" s="44"/>
      <c r="Q3643" s="44"/>
      <c r="R3643" s="44"/>
      <c r="S3643" s="44"/>
      <c r="T3643" s="44"/>
      <c r="U3643" s="44"/>
      <c r="V3643" s="44"/>
      <c r="W3643" s="44"/>
      <c r="X3643" s="44"/>
      <c r="Y3643" s="44"/>
    </row>
    <row r="3644" spans="14:25" ht="15" customHeight="1" x14ac:dyDescent="0.25">
      <c r="N3644" s="44"/>
      <c r="O3644" s="44"/>
      <c r="P3644" s="44"/>
      <c r="Q3644" s="44"/>
      <c r="R3644" s="44"/>
      <c r="S3644" s="44"/>
      <c r="T3644" s="44"/>
      <c r="U3644" s="44"/>
      <c r="V3644" s="44"/>
      <c r="W3644" s="44"/>
      <c r="X3644" s="44"/>
      <c r="Y3644" s="44"/>
    </row>
    <row r="3645" spans="14:25" ht="15" customHeight="1" x14ac:dyDescent="0.25">
      <c r="N3645" s="44"/>
      <c r="O3645" s="44"/>
      <c r="P3645" s="44"/>
      <c r="Q3645" s="44"/>
      <c r="R3645" s="44"/>
      <c r="S3645" s="44"/>
      <c r="T3645" s="44"/>
      <c r="U3645" s="44"/>
      <c r="V3645" s="44"/>
      <c r="W3645" s="44"/>
      <c r="X3645" s="44"/>
      <c r="Y3645" s="44"/>
    </row>
    <row r="3646" spans="14:25" ht="15" customHeight="1" x14ac:dyDescent="0.25">
      <c r="N3646" s="44"/>
      <c r="O3646" s="44"/>
      <c r="P3646" s="44"/>
      <c r="Q3646" s="44"/>
      <c r="R3646" s="44"/>
      <c r="S3646" s="44"/>
      <c r="T3646" s="44"/>
      <c r="U3646" s="44"/>
      <c r="V3646" s="44"/>
      <c r="W3646" s="44"/>
      <c r="X3646" s="44"/>
      <c r="Y3646" s="44"/>
    </row>
    <row r="3647" spans="14:25" ht="15" customHeight="1" x14ac:dyDescent="0.25">
      <c r="N3647" s="44"/>
      <c r="O3647" s="44"/>
      <c r="P3647" s="44"/>
      <c r="Q3647" s="44"/>
      <c r="R3647" s="44"/>
      <c r="S3647" s="44"/>
      <c r="T3647" s="44"/>
      <c r="U3647" s="44"/>
      <c r="V3647" s="44"/>
      <c r="W3647" s="44"/>
      <c r="X3647" s="44"/>
      <c r="Y3647" s="44"/>
    </row>
    <row r="3648" spans="14:25" ht="15" customHeight="1" x14ac:dyDescent="0.25">
      <c r="N3648" s="44"/>
      <c r="O3648" s="44"/>
      <c r="P3648" s="44"/>
      <c r="Q3648" s="44"/>
      <c r="R3648" s="44"/>
      <c r="S3648" s="44"/>
      <c r="T3648" s="44"/>
      <c r="U3648" s="44"/>
      <c r="V3648" s="44"/>
      <c r="W3648" s="44"/>
      <c r="X3648" s="44"/>
      <c r="Y3648" s="44"/>
    </row>
    <row r="3649" spans="14:25" ht="15" customHeight="1" x14ac:dyDescent="0.25">
      <c r="N3649" s="44"/>
      <c r="O3649" s="44"/>
      <c r="P3649" s="44"/>
      <c r="Q3649" s="44"/>
      <c r="R3649" s="44"/>
      <c r="S3649" s="44"/>
      <c r="T3649" s="44"/>
      <c r="U3649" s="44"/>
      <c r="V3649" s="44"/>
      <c r="W3649" s="44"/>
      <c r="X3649" s="44"/>
      <c r="Y3649" s="44"/>
    </row>
    <row r="3650" spans="14:25" ht="15" customHeight="1" x14ac:dyDescent="0.25">
      <c r="N3650" s="44"/>
      <c r="O3650" s="44"/>
      <c r="P3650" s="44"/>
      <c r="Q3650" s="44"/>
      <c r="R3650" s="44"/>
      <c r="S3650" s="44"/>
      <c r="T3650" s="44"/>
      <c r="U3650" s="44"/>
      <c r="V3650" s="44"/>
      <c r="W3650" s="44"/>
      <c r="X3650" s="44"/>
      <c r="Y3650" s="44"/>
    </row>
    <row r="3651" spans="14:25" ht="15" customHeight="1" x14ac:dyDescent="0.25">
      <c r="N3651" s="44"/>
      <c r="O3651" s="44"/>
      <c r="P3651" s="44"/>
      <c r="Q3651" s="44"/>
      <c r="R3651" s="44"/>
      <c r="S3651" s="44"/>
      <c r="T3651" s="44"/>
      <c r="U3651" s="44"/>
      <c r="V3651" s="44"/>
      <c r="W3651" s="44"/>
      <c r="X3651" s="44"/>
      <c r="Y3651" s="44"/>
    </row>
    <row r="3652" spans="14:25" ht="15" customHeight="1" x14ac:dyDescent="0.25">
      <c r="N3652" s="44"/>
      <c r="O3652" s="44"/>
      <c r="P3652" s="44"/>
      <c r="Q3652" s="44"/>
      <c r="R3652" s="44"/>
      <c r="S3652" s="44"/>
      <c r="T3652" s="44"/>
      <c r="U3652" s="44"/>
      <c r="V3652" s="44"/>
      <c r="W3652" s="44"/>
      <c r="X3652" s="44"/>
      <c r="Y3652" s="44"/>
    </row>
    <row r="3653" spans="14:25" ht="15" customHeight="1" x14ac:dyDescent="0.25">
      <c r="N3653" s="44"/>
      <c r="O3653" s="44"/>
      <c r="P3653" s="44"/>
      <c r="Q3653" s="44"/>
      <c r="R3653" s="44"/>
      <c r="S3653" s="44"/>
      <c r="T3653" s="44"/>
      <c r="U3653" s="44"/>
      <c r="V3653" s="44"/>
      <c r="W3653" s="44"/>
      <c r="X3653" s="44"/>
      <c r="Y3653" s="44"/>
    </row>
    <row r="3654" spans="14:25" ht="15" customHeight="1" x14ac:dyDescent="0.25">
      <c r="N3654" s="44"/>
      <c r="O3654" s="44"/>
      <c r="P3654" s="44"/>
      <c r="Q3654" s="44"/>
      <c r="R3654" s="44"/>
      <c r="S3654" s="44"/>
      <c r="T3654" s="44"/>
      <c r="U3654" s="44"/>
      <c r="V3654" s="44"/>
      <c r="W3654" s="44"/>
      <c r="X3654" s="44"/>
      <c r="Y3654" s="44"/>
    </row>
    <row r="3655" spans="14:25" ht="15" customHeight="1" x14ac:dyDescent="0.25">
      <c r="N3655" s="44"/>
      <c r="O3655" s="44"/>
      <c r="P3655" s="44"/>
      <c r="Q3655" s="44"/>
      <c r="R3655" s="44"/>
      <c r="S3655" s="44"/>
      <c r="T3655" s="44"/>
      <c r="U3655" s="44"/>
      <c r="V3655" s="44"/>
      <c r="W3655" s="44"/>
      <c r="X3655" s="44"/>
      <c r="Y3655" s="44"/>
    </row>
    <row r="3656" spans="14:25" ht="15" customHeight="1" x14ac:dyDescent="0.25">
      <c r="N3656" s="44"/>
      <c r="O3656" s="44"/>
      <c r="P3656" s="44"/>
      <c r="Q3656" s="44"/>
      <c r="R3656" s="44"/>
      <c r="S3656" s="44"/>
      <c r="T3656" s="44"/>
      <c r="U3656" s="44"/>
      <c r="V3656" s="44"/>
      <c r="W3656" s="44"/>
      <c r="X3656" s="44"/>
      <c r="Y3656" s="44"/>
    </row>
    <row r="3657" spans="14:25" ht="15" customHeight="1" x14ac:dyDescent="0.25">
      <c r="N3657" s="44"/>
      <c r="O3657" s="44"/>
      <c r="P3657" s="44"/>
      <c r="Q3657" s="44"/>
      <c r="R3657" s="44"/>
      <c r="S3657" s="44"/>
      <c r="T3657" s="44"/>
      <c r="U3657" s="44"/>
      <c r="V3657" s="44"/>
      <c r="W3657" s="44"/>
      <c r="X3657" s="44"/>
      <c r="Y3657" s="44"/>
    </row>
    <row r="3658" spans="14:25" ht="15" customHeight="1" x14ac:dyDescent="0.25">
      <c r="N3658" s="44"/>
      <c r="O3658" s="44"/>
      <c r="P3658" s="44"/>
      <c r="Q3658" s="44"/>
      <c r="R3658" s="44"/>
      <c r="S3658" s="44"/>
      <c r="T3658" s="44"/>
      <c r="U3658" s="44"/>
      <c r="V3658" s="44"/>
      <c r="W3658" s="44"/>
      <c r="X3658" s="44"/>
      <c r="Y3658" s="44"/>
    </row>
    <row r="3659" spans="14:25" ht="15" customHeight="1" x14ac:dyDescent="0.25">
      <c r="N3659" s="44"/>
      <c r="O3659" s="44"/>
      <c r="P3659" s="44"/>
      <c r="Q3659" s="44"/>
      <c r="R3659" s="44"/>
      <c r="S3659" s="44"/>
      <c r="T3659" s="44"/>
      <c r="U3659" s="44"/>
      <c r="V3659" s="44"/>
      <c r="W3659" s="44"/>
      <c r="X3659" s="44"/>
      <c r="Y3659" s="44"/>
    </row>
    <row r="3660" spans="14:25" ht="15" customHeight="1" x14ac:dyDescent="0.25">
      <c r="N3660" s="44"/>
      <c r="O3660" s="44"/>
      <c r="P3660" s="44"/>
      <c r="Q3660" s="44"/>
      <c r="R3660" s="44"/>
      <c r="S3660" s="44"/>
      <c r="T3660" s="44"/>
      <c r="U3660" s="44"/>
      <c r="V3660" s="44"/>
      <c r="W3660" s="44"/>
      <c r="X3660" s="44"/>
      <c r="Y3660" s="44"/>
    </row>
    <row r="3661" spans="14:25" ht="15" customHeight="1" x14ac:dyDescent="0.25">
      <c r="N3661" s="44"/>
      <c r="O3661" s="44"/>
      <c r="P3661" s="44"/>
      <c r="Q3661" s="44"/>
      <c r="R3661" s="44"/>
      <c r="S3661" s="44"/>
      <c r="T3661" s="44"/>
      <c r="U3661" s="44"/>
      <c r="V3661" s="44"/>
      <c r="W3661" s="44"/>
      <c r="X3661" s="44"/>
      <c r="Y3661" s="44"/>
    </row>
    <row r="3662" spans="14:25" ht="15" customHeight="1" x14ac:dyDescent="0.25">
      <c r="N3662" s="44"/>
      <c r="O3662" s="44"/>
      <c r="P3662" s="44"/>
      <c r="Q3662" s="44"/>
      <c r="R3662" s="44"/>
      <c r="S3662" s="44"/>
      <c r="T3662" s="44"/>
      <c r="U3662" s="44"/>
      <c r="V3662" s="44"/>
      <c r="W3662" s="44"/>
      <c r="X3662" s="44"/>
      <c r="Y3662" s="44"/>
    </row>
    <row r="3663" spans="14:25" ht="15" customHeight="1" x14ac:dyDescent="0.25">
      <c r="N3663" s="44"/>
      <c r="O3663" s="44"/>
      <c r="P3663" s="44"/>
      <c r="Q3663" s="44"/>
      <c r="R3663" s="44"/>
      <c r="S3663" s="44"/>
      <c r="T3663" s="44"/>
      <c r="U3663" s="44"/>
      <c r="V3663" s="44"/>
      <c r="W3663" s="44"/>
      <c r="X3663" s="44"/>
      <c r="Y3663" s="44"/>
    </row>
    <row r="3664" spans="14:25" ht="15" customHeight="1" x14ac:dyDescent="0.25">
      <c r="N3664" s="44"/>
      <c r="O3664" s="44"/>
      <c r="P3664" s="44"/>
      <c r="Q3664" s="44"/>
      <c r="R3664" s="44"/>
      <c r="S3664" s="44"/>
      <c r="T3664" s="44"/>
      <c r="U3664" s="44"/>
      <c r="V3664" s="44"/>
      <c r="W3664" s="44"/>
      <c r="X3664" s="44"/>
      <c r="Y3664" s="44"/>
    </row>
    <row r="3665" spans="14:25" ht="15" customHeight="1" x14ac:dyDescent="0.25">
      <c r="N3665" s="44"/>
      <c r="O3665" s="44"/>
      <c r="P3665" s="44"/>
      <c r="Q3665" s="44"/>
      <c r="R3665" s="44"/>
      <c r="S3665" s="44"/>
      <c r="T3665" s="44"/>
      <c r="U3665" s="44"/>
      <c r="V3665" s="44"/>
      <c r="W3665" s="44"/>
      <c r="X3665" s="44"/>
      <c r="Y3665" s="44"/>
    </row>
    <row r="3666" spans="14:25" ht="15" customHeight="1" x14ac:dyDescent="0.25">
      <c r="N3666" s="44"/>
      <c r="O3666" s="44"/>
      <c r="P3666" s="44"/>
      <c r="Q3666" s="44"/>
      <c r="R3666" s="44"/>
      <c r="S3666" s="44"/>
      <c r="T3666" s="44"/>
      <c r="U3666" s="44"/>
      <c r="V3666" s="44"/>
      <c r="W3666" s="44"/>
      <c r="X3666" s="44"/>
      <c r="Y3666" s="44"/>
    </row>
    <row r="3667" spans="14:25" ht="15" customHeight="1" x14ac:dyDescent="0.25">
      <c r="N3667" s="44"/>
      <c r="O3667" s="44"/>
      <c r="P3667" s="44"/>
      <c r="Q3667" s="44"/>
      <c r="R3667" s="44"/>
      <c r="S3667" s="44"/>
      <c r="T3667" s="44"/>
      <c r="U3667" s="44"/>
      <c r="V3667" s="44"/>
      <c r="W3667" s="44"/>
      <c r="X3667" s="44"/>
      <c r="Y3667" s="44"/>
    </row>
    <row r="3668" spans="14:25" ht="15" customHeight="1" x14ac:dyDescent="0.25">
      <c r="N3668" s="44"/>
      <c r="O3668" s="44"/>
      <c r="P3668" s="44"/>
      <c r="Q3668" s="44"/>
      <c r="R3668" s="44"/>
      <c r="S3668" s="44"/>
      <c r="T3668" s="44"/>
      <c r="U3668" s="44"/>
      <c r="V3668" s="44"/>
      <c r="W3668" s="44"/>
      <c r="X3668" s="44"/>
      <c r="Y3668" s="44"/>
    </row>
    <row r="3669" spans="14:25" ht="15" customHeight="1" x14ac:dyDescent="0.25">
      <c r="N3669" s="44"/>
      <c r="O3669" s="44"/>
      <c r="P3669" s="44"/>
      <c r="Q3669" s="44"/>
      <c r="R3669" s="44"/>
      <c r="S3669" s="44"/>
      <c r="T3669" s="44"/>
      <c r="U3669" s="44"/>
      <c r="V3669" s="44"/>
      <c r="W3669" s="44"/>
      <c r="X3669" s="44"/>
      <c r="Y3669" s="44"/>
    </row>
    <row r="3670" spans="14:25" ht="15" customHeight="1" x14ac:dyDescent="0.25">
      <c r="N3670" s="44"/>
      <c r="O3670" s="44"/>
      <c r="P3670" s="44"/>
      <c r="Q3670" s="44"/>
      <c r="R3670" s="44"/>
      <c r="S3670" s="44"/>
      <c r="T3670" s="44"/>
      <c r="U3670" s="44"/>
      <c r="V3670" s="44"/>
      <c r="W3670" s="44"/>
      <c r="X3670" s="44"/>
      <c r="Y3670" s="44"/>
    </row>
    <row r="3671" spans="14:25" ht="15" customHeight="1" x14ac:dyDescent="0.25">
      <c r="N3671" s="44"/>
      <c r="O3671" s="44"/>
      <c r="P3671" s="44"/>
      <c r="Q3671" s="44"/>
      <c r="R3671" s="44"/>
      <c r="S3671" s="44"/>
      <c r="T3671" s="44"/>
      <c r="U3671" s="44"/>
      <c r="V3671" s="44"/>
      <c r="W3671" s="44"/>
      <c r="X3671" s="44"/>
      <c r="Y3671" s="44"/>
    </row>
    <row r="3672" spans="14:25" ht="15" customHeight="1" x14ac:dyDescent="0.25">
      <c r="N3672" s="44"/>
      <c r="O3672" s="44"/>
      <c r="P3672" s="44"/>
      <c r="Q3672" s="44"/>
      <c r="R3672" s="44"/>
      <c r="S3672" s="44"/>
      <c r="T3672" s="44"/>
      <c r="U3672" s="44"/>
      <c r="V3672" s="44"/>
      <c r="W3672" s="44"/>
      <c r="X3672" s="44"/>
      <c r="Y3672" s="44"/>
    </row>
    <row r="3673" spans="14:25" ht="15" customHeight="1" x14ac:dyDescent="0.25">
      <c r="N3673" s="44"/>
      <c r="O3673" s="44"/>
      <c r="P3673" s="44"/>
      <c r="Q3673" s="44"/>
      <c r="R3673" s="44"/>
      <c r="S3673" s="44"/>
      <c r="T3673" s="44"/>
      <c r="U3673" s="44"/>
      <c r="V3673" s="44"/>
      <c r="W3673" s="44"/>
      <c r="X3673" s="44"/>
      <c r="Y3673" s="44"/>
    </row>
    <row r="3674" spans="14:25" ht="15" customHeight="1" x14ac:dyDescent="0.25">
      <c r="N3674" s="44"/>
      <c r="O3674" s="44"/>
      <c r="P3674" s="44"/>
      <c r="Q3674" s="44"/>
      <c r="R3674" s="44"/>
      <c r="S3674" s="44"/>
      <c r="T3674" s="44"/>
      <c r="U3674" s="44"/>
      <c r="V3674" s="44"/>
      <c r="W3674" s="44"/>
      <c r="X3674" s="44"/>
      <c r="Y3674" s="44"/>
    </row>
    <row r="3675" spans="14:25" ht="15" customHeight="1" x14ac:dyDescent="0.25">
      <c r="N3675" s="44"/>
      <c r="O3675" s="44"/>
      <c r="P3675" s="44"/>
      <c r="Q3675" s="44"/>
      <c r="R3675" s="44"/>
      <c r="S3675" s="44"/>
      <c r="T3675" s="44"/>
      <c r="U3675" s="44"/>
      <c r="V3675" s="44"/>
      <c r="W3675" s="44"/>
      <c r="X3675" s="44"/>
      <c r="Y3675" s="44"/>
    </row>
    <row r="3676" spans="14:25" ht="15" customHeight="1" x14ac:dyDescent="0.25">
      <c r="N3676" s="44"/>
      <c r="O3676" s="44"/>
      <c r="P3676" s="44"/>
      <c r="Q3676" s="44"/>
      <c r="R3676" s="44"/>
      <c r="S3676" s="44"/>
      <c r="T3676" s="44"/>
      <c r="U3676" s="44"/>
      <c r="V3676" s="44"/>
      <c r="W3676" s="44"/>
      <c r="X3676" s="44"/>
      <c r="Y3676" s="44"/>
    </row>
    <row r="3677" spans="14:25" ht="15" customHeight="1" x14ac:dyDescent="0.25">
      <c r="N3677" s="44"/>
      <c r="O3677" s="44"/>
      <c r="P3677" s="44"/>
      <c r="Q3677" s="44"/>
      <c r="R3677" s="44"/>
      <c r="S3677" s="44"/>
      <c r="T3677" s="44"/>
      <c r="U3677" s="44"/>
      <c r="V3677" s="44"/>
      <c r="W3677" s="44"/>
      <c r="X3677" s="44"/>
      <c r="Y3677" s="44"/>
    </row>
    <row r="3678" spans="14:25" ht="15" customHeight="1" x14ac:dyDescent="0.25">
      <c r="N3678" s="44"/>
      <c r="O3678" s="44"/>
      <c r="P3678" s="44"/>
      <c r="Q3678" s="44"/>
      <c r="R3678" s="44"/>
      <c r="S3678" s="44"/>
      <c r="T3678" s="44"/>
      <c r="U3678" s="44"/>
      <c r="V3678" s="44"/>
      <c r="W3678" s="44"/>
      <c r="X3678" s="44"/>
      <c r="Y3678" s="44"/>
    </row>
    <row r="3679" spans="14:25" ht="15" customHeight="1" x14ac:dyDescent="0.25">
      <c r="N3679" s="44"/>
      <c r="O3679" s="44"/>
      <c r="P3679" s="44"/>
      <c r="Q3679" s="44"/>
      <c r="R3679" s="44"/>
      <c r="S3679" s="44"/>
      <c r="T3679" s="44"/>
      <c r="U3679" s="44"/>
      <c r="V3679" s="44"/>
      <c r="W3679" s="44"/>
      <c r="X3679" s="44"/>
      <c r="Y3679" s="44"/>
    </row>
    <row r="3680" spans="14:25" ht="15" customHeight="1" x14ac:dyDescent="0.25">
      <c r="N3680" s="44"/>
      <c r="O3680" s="44"/>
      <c r="P3680" s="44"/>
      <c r="Q3680" s="44"/>
      <c r="R3680" s="44"/>
      <c r="S3680" s="44"/>
      <c r="T3680" s="44"/>
      <c r="U3680" s="44"/>
      <c r="V3680" s="44"/>
      <c r="W3680" s="44"/>
      <c r="X3680" s="44"/>
      <c r="Y3680" s="44"/>
    </row>
    <row r="3681" spans="14:25" ht="15" customHeight="1" x14ac:dyDescent="0.25">
      <c r="N3681" s="44"/>
      <c r="O3681" s="44"/>
      <c r="P3681" s="44"/>
      <c r="Q3681" s="44"/>
      <c r="R3681" s="44"/>
      <c r="S3681" s="44"/>
      <c r="T3681" s="44"/>
      <c r="U3681" s="44"/>
      <c r="V3681" s="44"/>
      <c r="W3681" s="44"/>
      <c r="X3681" s="44"/>
      <c r="Y3681" s="44"/>
    </row>
    <row r="3682" spans="14:25" ht="15" customHeight="1" x14ac:dyDescent="0.25">
      <c r="N3682" s="44"/>
      <c r="O3682" s="44"/>
      <c r="P3682" s="44"/>
      <c r="Q3682" s="44"/>
      <c r="R3682" s="44"/>
      <c r="S3682" s="44"/>
      <c r="T3682" s="44"/>
      <c r="U3682" s="44"/>
      <c r="V3682" s="44"/>
      <c r="W3682" s="44"/>
      <c r="X3682" s="44"/>
      <c r="Y3682" s="44"/>
    </row>
    <row r="3683" spans="14:25" ht="15" customHeight="1" x14ac:dyDescent="0.25">
      <c r="N3683" s="44"/>
      <c r="O3683" s="44"/>
      <c r="P3683" s="44"/>
      <c r="Q3683" s="44"/>
      <c r="R3683" s="44"/>
      <c r="S3683" s="44"/>
      <c r="T3683" s="44"/>
      <c r="U3683" s="44"/>
      <c r="V3683" s="44"/>
      <c r="W3683" s="44"/>
      <c r="X3683" s="44"/>
      <c r="Y3683" s="44"/>
    </row>
    <row r="3684" spans="14:25" ht="15" customHeight="1" x14ac:dyDescent="0.25">
      <c r="N3684" s="44"/>
      <c r="O3684" s="44"/>
      <c r="P3684" s="44"/>
      <c r="Q3684" s="44"/>
      <c r="R3684" s="44"/>
      <c r="S3684" s="44"/>
      <c r="T3684" s="44"/>
      <c r="U3684" s="44"/>
      <c r="V3684" s="44"/>
      <c r="W3684" s="44"/>
      <c r="X3684" s="44"/>
      <c r="Y3684" s="44"/>
    </row>
    <row r="3685" spans="14:25" ht="15" customHeight="1" x14ac:dyDescent="0.25">
      <c r="N3685" s="44"/>
      <c r="O3685" s="44"/>
      <c r="P3685" s="44"/>
      <c r="Q3685" s="44"/>
      <c r="R3685" s="44"/>
      <c r="S3685" s="44"/>
      <c r="T3685" s="44"/>
      <c r="U3685" s="44"/>
      <c r="V3685" s="44"/>
      <c r="W3685" s="44"/>
      <c r="X3685" s="44"/>
      <c r="Y3685" s="44"/>
    </row>
    <row r="3686" spans="14:25" ht="15" customHeight="1" x14ac:dyDescent="0.25">
      <c r="N3686" s="44"/>
      <c r="O3686" s="44"/>
      <c r="P3686" s="44"/>
      <c r="Q3686" s="44"/>
      <c r="R3686" s="44"/>
      <c r="S3686" s="44"/>
      <c r="T3686" s="44"/>
      <c r="U3686" s="44"/>
      <c r="V3686" s="44"/>
      <c r="W3686" s="44"/>
      <c r="X3686" s="44"/>
      <c r="Y3686" s="44"/>
    </row>
    <row r="3687" spans="14:25" ht="15" customHeight="1" x14ac:dyDescent="0.25">
      <c r="N3687" s="44"/>
      <c r="O3687" s="44"/>
      <c r="P3687" s="44"/>
      <c r="Q3687" s="44"/>
      <c r="R3687" s="44"/>
      <c r="S3687" s="44"/>
      <c r="T3687" s="44"/>
      <c r="U3687" s="44"/>
      <c r="V3687" s="44"/>
      <c r="W3687" s="44"/>
      <c r="X3687" s="44"/>
      <c r="Y3687" s="44"/>
    </row>
    <row r="3688" spans="14:25" ht="15" customHeight="1" x14ac:dyDescent="0.25">
      <c r="N3688" s="44"/>
      <c r="O3688" s="44"/>
      <c r="P3688" s="44"/>
      <c r="Q3688" s="44"/>
      <c r="R3688" s="44"/>
      <c r="S3688" s="44"/>
      <c r="T3688" s="44"/>
      <c r="U3688" s="44"/>
      <c r="V3688" s="44"/>
      <c r="W3688" s="44"/>
      <c r="X3688" s="44"/>
      <c r="Y3688" s="44"/>
    </row>
    <row r="3689" spans="14:25" ht="15" customHeight="1" x14ac:dyDescent="0.25">
      <c r="N3689" s="44"/>
      <c r="O3689" s="44"/>
      <c r="P3689" s="44"/>
      <c r="Q3689" s="44"/>
      <c r="R3689" s="44"/>
      <c r="S3689" s="44"/>
      <c r="T3689" s="44"/>
      <c r="U3689" s="44"/>
      <c r="V3689" s="44"/>
      <c r="W3689" s="44"/>
      <c r="X3689" s="44"/>
      <c r="Y3689" s="44"/>
    </row>
    <row r="3690" spans="14:25" ht="15" customHeight="1" x14ac:dyDescent="0.25">
      <c r="N3690" s="44"/>
      <c r="O3690" s="44"/>
      <c r="P3690" s="44"/>
      <c r="Q3690" s="44"/>
      <c r="R3690" s="44"/>
      <c r="S3690" s="44"/>
      <c r="T3690" s="44"/>
      <c r="U3690" s="44"/>
      <c r="V3690" s="44"/>
      <c r="W3690" s="44"/>
      <c r="X3690" s="44"/>
      <c r="Y3690" s="44"/>
    </row>
    <row r="3691" spans="14:25" ht="15" customHeight="1" x14ac:dyDescent="0.25">
      <c r="N3691" s="44"/>
      <c r="O3691" s="44"/>
      <c r="P3691" s="44"/>
      <c r="Q3691" s="44"/>
      <c r="R3691" s="44"/>
      <c r="S3691" s="44"/>
      <c r="T3691" s="44"/>
      <c r="U3691" s="44"/>
      <c r="V3691" s="44"/>
      <c r="W3691" s="44"/>
      <c r="X3691" s="44"/>
      <c r="Y3691" s="44"/>
    </row>
    <row r="3692" spans="14:25" ht="15" customHeight="1" x14ac:dyDescent="0.25">
      <c r="N3692" s="44"/>
      <c r="O3692" s="44"/>
      <c r="P3692" s="44"/>
      <c r="Q3692" s="44"/>
      <c r="R3692" s="44"/>
      <c r="S3692" s="44"/>
      <c r="T3692" s="44"/>
      <c r="U3692" s="44"/>
      <c r="V3692" s="44"/>
      <c r="W3692" s="44"/>
      <c r="X3692" s="44"/>
      <c r="Y3692" s="44"/>
    </row>
    <row r="3693" spans="14:25" ht="15" customHeight="1" x14ac:dyDescent="0.25">
      <c r="N3693" s="44"/>
      <c r="O3693" s="44"/>
      <c r="P3693" s="44"/>
      <c r="Q3693" s="44"/>
      <c r="R3693" s="44"/>
      <c r="S3693" s="44"/>
      <c r="T3693" s="44"/>
      <c r="U3693" s="44"/>
      <c r="V3693" s="44"/>
      <c r="W3693" s="44"/>
      <c r="X3693" s="44"/>
      <c r="Y3693" s="44"/>
    </row>
    <row r="3694" spans="14:25" ht="15" customHeight="1" x14ac:dyDescent="0.25">
      <c r="N3694" s="44"/>
      <c r="O3694" s="44"/>
      <c r="P3694" s="44"/>
      <c r="Q3694" s="44"/>
      <c r="R3694" s="44"/>
      <c r="S3694" s="44"/>
      <c r="T3694" s="44"/>
      <c r="U3694" s="44"/>
      <c r="V3694" s="44"/>
      <c r="W3694" s="44"/>
      <c r="X3694" s="44"/>
      <c r="Y3694" s="44"/>
    </row>
    <row r="3695" spans="14:25" ht="15" customHeight="1" x14ac:dyDescent="0.25">
      <c r="N3695" s="44"/>
      <c r="O3695" s="44"/>
      <c r="P3695" s="44"/>
      <c r="Q3695" s="44"/>
      <c r="R3695" s="44"/>
      <c r="S3695" s="44"/>
      <c r="T3695" s="44"/>
      <c r="U3695" s="44"/>
      <c r="V3695" s="44"/>
      <c r="W3695" s="44"/>
      <c r="X3695" s="44"/>
      <c r="Y3695" s="44"/>
    </row>
    <row r="3696" spans="14:25" ht="15" customHeight="1" x14ac:dyDescent="0.25">
      <c r="N3696" s="44"/>
      <c r="O3696" s="44"/>
      <c r="P3696" s="44"/>
      <c r="Q3696" s="44"/>
      <c r="R3696" s="44"/>
      <c r="S3696" s="44"/>
      <c r="T3696" s="44"/>
      <c r="U3696" s="44"/>
      <c r="V3696" s="44"/>
      <c r="W3696" s="44"/>
      <c r="X3696" s="44"/>
      <c r="Y3696" s="44"/>
    </row>
    <row r="3697" spans="14:25" ht="15" customHeight="1" x14ac:dyDescent="0.25">
      <c r="N3697" s="44"/>
      <c r="O3697" s="44"/>
      <c r="P3697" s="44"/>
      <c r="Q3697" s="44"/>
      <c r="R3697" s="44"/>
      <c r="S3697" s="44"/>
      <c r="T3697" s="44"/>
      <c r="U3697" s="44"/>
      <c r="V3697" s="44"/>
      <c r="W3697" s="44"/>
      <c r="X3697" s="44"/>
      <c r="Y3697" s="44"/>
    </row>
    <row r="3698" spans="14:25" ht="15" customHeight="1" x14ac:dyDescent="0.25">
      <c r="N3698" s="44"/>
      <c r="O3698" s="44"/>
      <c r="P3698" s="44"/>
      <c r="Q3698" s="44"/>
      <c r="R3698" s="44"/>
      <c r="S3698" s="44"/>
      <c r="T3698" s="44"/>
      <c r="U3698" s="44"/>
      <c r="V3698" s="44"/>
      <c r="W3698" s="44"/>
      <c r="X3698" s="44"/>
      <c r="Y3698" s="44"/>
    </row>
    <row r="3699" spans="14:25" ht="15" customHeight="1" x14ac:dyDescent="0.25">
      <c r="N3699" s="44"/>
      <c r="O3699" s="44"/>
      <c r="P3699" s="44"/>
      <c r="Q3699" s="44"/>
      <c r="R3699" s="44"/>
      <c r="S3699" s="44"/>
      <c r="T3699" s="44"/>
      <c r="U3699" s="44"/>
      <c r="V3699" s="44"/>
      <c r="W3699" s="44"/>
      <c r="X3699" s="44"/>
      <c r="Y3699" s="44"/>
    </row>
    <row r="3700" spans="14:25" ht="15" customHeight="1" x14ac:dyDescent="0.25">
      <c r="N3700" s="44"/>
      <c r="O3700" s="44"/>
      <c r="P3700" s="44"/>
      <c r="Q3700" s="44"/>
      <c r="R3700" s="44"/>
      <c r="S3700" s="44"/>
      <c r="T3700" s="44"/>
      <c r="U3700" s="44"/>
      <c r="V3700" s="44"/>
      <c r="W3700" s="44"/>
      <c r="X3700" s="44"/>
      <c r="Y3700" s="44"/>
    </row>
    <row r="3701" spans="14:25" ht="15" customHeight="1" x14ac:dyDescent="0.25">
      <c r="N3701" s="44"/>
      <c r="O3701" s="44"/>
      <c r="P3701" s="44"/>
      <c r="Q3701" s="44"/>
      <c r="R3701" s="44"/>
      <c r="S3701" s="44"/>
      <c r="T3701" s="44"/>
      <c r="U3701" s="44"/>
      <c r="V3701" s="44"/>
      <c r="W3701" s="44"/>
      <c r="X3701" s="44"/>
      <c r="Y3701" s="44"/>
    </row>
    <row r="3702" spans="14:25" ht="15" customHeight="1" x14ac:dyDescent="0.25">
      <c r="N3702" s="44"/>
      <c r="O3702" s="44"/>
      <c r="P3702" s="44"/>
      <c r="Q3702" s="44"/>
      <c r="R3702" s="44"/>
      <c r="S3702" s="44"/>
      <c r="T3702" s="44"/>
      <c r="U3702" s="44"/>
      <c r="V3702" s="44"/>
      <c r="W3702" s="44"/>
      <c r="X3702" s="44"/>
      <c r="Y3702" s="44"/>
    </row>
    <row r="3703" spans="14:25" ht="15" customHeight="1" x14ac:dyDescent="0.25">
      <c r="N3703" s="44"/>
      <c r="O3703" s="44"/>
      <c r="P3703" s="44"/>
      <c r="Q3703" s="44"/>
      <c r="R3703" s="44"/>
      <c r="S3703" s="44"/>
      <c r="T3703" s="44"/>
      <c r="U3703" s="44"/>
      <c r="V3703" s="44"/>
      <c r="W3703" s="44"/>
      <c r="X3703" s="44"/>
      <c r="Y3703" s="44"/>
    </row>
    <row r="3704" spans="14:25" ht="15" customHeight="1" x14ac:dyDescent="0.25">
      <c r="N3704" s="44"/>
      <c r="O3704" s="44"/>
      <c r="P3704" s="44"/>
      <c r="Q3704" s="44"/>
      <c r="R3704" s="44"/>
      <c r="S3704" s="44"/>
      <c r="T3704" s="44"/>
      <c r="U3704" s="44"/>
      <c r="V3704" s="44"/>
      <c r="W3704" s="44"/>
      <c r="X3704" s="44"/>
      <c r="Y3704" s="44"/>
    </row>
    <row r="3705" spans="14:25" ht="15" customHeight="1" x14ac:dyDescent="0.25">
      <c r="N3705" s="44"/>
      <c r="O3705" s="44"/>
      <c r="P3705" s="44"/>
      <c r="Q3705" s="44"/>
      <c r="R3705" s="44"/>
      <c r="S3705" s="44"/>
      <c r="T3705" s="44"/>
      <c r="U3705" s="44"/>
      <c r="V3705" s="44"/>
      <c r="W3705" s="44"/>
      <c r="X3705" s="44"/>
      <c r="Y3705" s="44"/>
    </row>
    <row r="3706" spans="14:25" ht="15" customHeight="1" x14ac:dyDescent="0.25">
      <c r="N3706" s="44"/>
      <c r="O3706" s="44"/>
      <c r="P3706" s="44"/>
      <c r="Q3706" s="44"/>
      <c r="R3706" s="44"/>
      <c r="S3706" s="44"/>
      <c r="T3706" s="44"/>
      <c r="U3706" s="44"/>
      <c r="V3706" s="44"/>
      <c r="W3706" s="44"/>
      <c r="X3706" s="44"/>
      <c r="Y3706" s="44"/>
    </row>
    <row r="3707" spans="14:25" ht="15" customHeight="1" x14ac:dyDescent="0.25">
      <c r="N3707" s="44"/>
      <c r="O3707" s="44"/>
      <c r="P3707" s="44"/>
      <c r="Q3707" s="44"/>
      <c r="R3707" s="44"/>
      <c r="S3707" s="44"/>
      <c r="T3707" s="44"/>
      <c r="U3707" s="44"/>
      <c r="V3707" s="44"/>
      <c r="W3707" s="44"/>
      <c r="X3707" s="44"/>
      <c r="Y3707" s="44"/>
    </row>
    <row r="3708" spans="14:25" ht="15" customHeight="1" x14ac:dyDescent="0.25">
      <c r="N3708" s="44"/>
      <c r="O3708" s="44"/>
      <c r="P3708" s="44"/>
      <c r="Q3708" s="44"/>
      <c r="R3708" s="44"/>
      <c r="S3708" s="44"/>
      <c r="T3708" s="44"/>
      <c r="U3708" s="44"/>
      <c r="V3708" s="44"/>
      <c r="W3708" s="44"/>
      <c r="X3708" s="44"/>
      <c r="Y3708" s="44"/>
    </row>
    <row r="3709" spans="14:25" ht="15" customHeight="1" x14ac:dyDescent="0.25">
      <c r="N3709" s="44"/>
      <c r="O3709" s="44"/>
      <c r="P3709" s="44"/>
      <c r="Q3709" s="44"/>
      <c r="R3709" s="44"/>
      <c r="S3709" s="44"/>
      <c r="T3709" s="44"/>
      <c r="U3709" s="44"/>
      <c r="V3709" s="44"/>
      <c r="W3709" s="44"/>
      <c r="X3709" s="44"/>
      <c r="Y3709" s="44"/>
    </row>
    <row r="3710" spans="14:25" ht="15" customHeight="1" x14ac:dyDescent="0.25">
      <c r="N3710" s="44"/>
      <c r="O3710" s="44"/>
      <c r="P3710" s="44"/>
      <c r="Q3710" s="44"/>
      <c r="R3710" s="44"/>
      <c r="S3710" s="44"/>
      <c r="T3710" s="44"/>
      <c r="U3710" s="44"/>
      <c r="V3710" s="44"/>
      <c r="W3710" s="44"/>
      <c r="X3710" s="44"/>
      <c r="Y3710" s="44"/>
    </row>
    <row r="3711" spans="14:25" ht="15" customHeight="1" x14ac:dyDescent="0.25">
      <c r="N3711" s="44"/>
      <c r="O3711" s="44"/>
      <c r="P3711" s="44"/>
      <c r="Q3711" s="44"/>
      <c r="R3711" s="44"/>
      <c r="S3711" s="44"/>
      <c r="T3711" s="44"/>
      <c r="U3711" s="44"/>
      <c r="V3711" s="44"/>
      <c r="W3711" s="44"/>
      <c r="X3711" s="44"/>
      <c r="Y3711" s="44"/>
    </row>
    <row r="3712" spans="14:25" ht="15" customHeight="1" x14ac:dyDescent="0.25">
      <c r="N3712" s="44"/>
      <c r="O3712" s="44"/>
      <c r="P3712" s="44"/>
      <c r="Q3712" s="44"/>
      <c r="R3712" s="44"/>
      <c r="S3712" s="44"/>
      <c r="T3712" s="44"/>
      <c r="U3712" s="44"/>
      <c r="V3712" s="44"/>
      <c r="W3712" s="44"/>
      <c r="X3712" s="44"/>
      <c r="Y3712" s="44"/>
    </row>
    <row r="3713" spans="14:25" ht="15" customHeight="1" x14ac:dyDescent="0.25">
      <c r="N3713" s="44"/>
      <c r="O3713" s="44"/>
      <c r="P3713" s="44"/>
      <c r="Q3713" s="44"/>
      <c r="R3713" s="44"/>
      <c r="S3713" s="44"/>
      <c r="T3713" s="44"/>
      <c r="U3713" s="44"/>
      <c r="V3713" s="44"/>
      <c r="W3713" s="44"/>
      <c r="X3713" s="44"/>
      <c r="Y3713" s="44"/>
    </row>
    <row r="3714" spans="14:25" ht="15" customHeight="1" x14ac:dyDescent="0.25">
      <c r="N3714" s="44"/>
      <c r="O3714" s="44"/>
      <c r="P3714" s="44"/>
      <c r="Q3714" s="44"/>
      <c r="R3714" s="44"/>
      <c r="S3714" s="44"/>
      <c r="T3714" s="44"/>
      <c r="U3714" s="44"/>
      <c r="V3714" s="44"/>
      <c r="W3714" s="44"/>
      <c r="X3714" s="44"/>
      <c r="Y3714" s="44"/>
    </row>
    <row r="3715" spans="14:25" ht="15" customHeight="1" x14ac:dyDescent="0.25">
      <c r="N3715" s="44"/>
      <c r="O3715" s="44"/>
      <c r="P3715" s="44"/>
      <c r="Q3715" s="44"/>
      <c r="R3715" s="44"/>
      <c r="S3715" s="44"/>
      <c r="T3715" s="44"/>
      <c r="U3715" s="44"/>
      <c r="V3715" s="44"/>
      <c r="W3715" s="44"/>
      <c r="X3715" s="44"/>
      <c r="Y3715" s="44"/>
    </row>
    <row r="3716" spans="14:25" ht="15" customHeight="1" x14ac:dyDescent="0.25">
      <c r="N3716" s="44"/>
      <c r="O3716" s="44"/>
      <c r="P3716" s="44"/>
      <c r="Q3716" s="44"/>
      <c r="R3716" s="44"/>
      <c r="S3716" s="44"/>
      <c r="T3716" s="44"/>
      <c r="U3716" s="44"/>
      <c r="V3716" s="44"/>
      <c r="W3716" s="44"/>
      <c r="X3716" s="44"/>
      <c r="Y3716" s="44"/>
    </row>
    <row r="3717" spans="14:25" ht="15" customHeight="1" x14ac:dyDescent="0.25">
      <c r="N3717" s="44"/>
      <c r="O3717" s="44"/>
      <c r="P3717" s="44"/>
      <c r="Q3717" s="44"/>
      <c r="R3717" s="44"/>
      <c r="S3717" s="44"/>
      <c r="T3717" s="44"/>
      <c r="U3717" s="44"/>
      <c r="V3717" s="44"/>
      <c r="W3717" s="44"/>
      <c r="X3717" s="44"/>
      <c r="Y3717" s="44"/>
    </row>
    <row r="3718" spans="14:25" ht="15" customHeight="1" x14ac:dyDescent="0.25">
      <c r="N3718" s="44"/>
      <c r="O3718" s="44"/>
      <c r="P3718" s="44"/>
      <c r="Q3718" s="44"/>
      <c r="R3718" s="44"/>
      <c r="S3718" s="44"/>
      <c r="T3718" s="44"/>
      <c r="U3718" s="44"/>
      <c r="V3718" s="44"/>
      <c r="W3718" s="44"/>
      <c r="X3718" s="44"/>
      <c r="Y3718" s="44"/>
    </row>
    <row r="3719" spans="14:25" ht="15" customHeight="1" x14ac:dyDescent="0.25">
      <c r="N3719" s="44"/>
      <c r="O3719" s="44"/>
      <c r="P3719" s="44"/>
      <c r="Q3719" s="44"/>
      <c r="R3719" s="44"/>
      <c r="S3719" s="44"/>
      <c r="T3719" s="44"/>
      <c r="U3719" s="44"/>
      <c r="V3719" s="44"/>
      <c r="W3719" s="44"/>
      <c r="X3719" s="44"/>
      <c r="Y3719" s="44"/>
    </row>
    <row r="3720" spans="14:25" ht="15" customHeight="1" x14ac:dyDescent="0.25">
      <c r="N3720" s="44"/>
      <c r="O3720" s="44"/>
      <c r="P3720" s="44"/>
      <c r="Q3720" s="44"/>
      <c r="R3720" s="44"/>
      <c r="S3720" s="44"/>
      <c r="T3720" s="44"/>
      <c r="U3720" s="44"/>
      <c r="V3720" s="44"/>
      <c r="W3720" s="44"/>
      <c r="X3720" s="44"/>
      <c r="Y3720" s="44"/>
    </row>
    <row r="3721" spans="14:25" ht="15" customHeight="1" x14ac:dyDescent="0.25">
      <c r="N3721" s="44"/>
      <c r="O3721" s="44"/>
      <c r="P3721" s="44"/>
      <c r="Q3721" s="44"/>
      <c r="R3721" s="44"/>
      <c r="S3721" s="44"/>
      <c r="T3721" s="44"/>
      <c r="U3721" s="44"/>
      <c r="V3721" s="44"/>
      <c r="W3721" s="44"/>
      <c r="X3721" s="44"/>
      <c r="Y3721" s="44"/>
    </row>
    <row r="3722" spans="14:25" ht="15" customHeight="1" x14ac:dyDescent="0.25">
      <c r="N3722" s="44"/>
      <c r="O3722" s="44"/>
      <c r="P3722" s="44"/>
      <c r="Q3722" s="44"/>
      <c r="R3722" s="44"/>
      <c r="S3722" s="44"/>
      <c r="T3722" s="44"/>
      <c r="U3722" s="44"/>
      <c r="V3722" s="44"/>
      <c r="W3722" s="44"/>
      <c r="X3722" s="44"/>
      <c r="Y3722" s="44"/>
    </row>
    <row r="3723" spans="14:25" ht="15" customHeight="1" x14ac:dyDescent="0.25">
      <c r="N3723" s="44"/>
      <c r="O3723" s="44"/>
      <c r="P3723" s="44"/>
      <c r="Q3723" s="44"/>
      <c r="R3723" s="44"/>
      <c r="S3723" s="44"/>
      <c r="T3723" s="44"/>
      <c r="U3723" s="44"/>
      <c r="V3723" s="44"/>
      <c r="W3723" s="44"/>
      <c r="X3723" s="44"/>
      <c r="Y3723" s="44"/>
    </row>
    <row r="3724" spans="14:25" ht="15" customHeight="1" x14ac:dyDescent="0.25">
      <c r="N3724" s="44"/>
      <c r="O3724" s="44"/>
      <c r="P3724" s="44"/>
      <c r="Q3724" s="44"/>
      <c r="R3724" s="44"/>
      <c r="S3724" s="44"/>
      <c r="T3724" s="44"/>
      <c r="U3724" s="44"/>
      <c r="V3724" s="44"/>
      <c r="W3724" s="44"/>
      <c r="X3724" s="44"/>
      <c r="Y3724" s="44"/>
    </row>
    <row r="3725" spans="14:25" ht="15" customHeight="1" x14ac:dyDescent="0.25">
      <c r="N3725" s="44"/>
      <c r="O3725" s="44"/>
      <c r="P3725" s="44"/>
      <c r="Q3725" s="44"/>
      <c r="R3725" s="44"/>
      <c r="S3725" s="44"/>
      <c r="T3725" s="44"/>
      <c r="U3725" s="44"/>
      <c r="V3725" s="44"/>
      <c r="W3725" s="44"/>
      <c r="X3725" s="44"/>
      <c r="Y3725" s="44"/>
    </row>
    <row r="3726" spans="14:25" ht="15" customHeight="1" x14ac:dyDescent="0.25">
      <c r="N3726" s="44"/>
      <c r="O3726" s="44"/>
      <c r="P3726" s="44"/>
      <c r="Q3726" s="44"/>
      <c r="R3726" s="44"/>
      <c r="S3726" s="44"/>
      <c r="T3726" s="44"/>
      <c r="U3726" s="44"/>
      <c r="V3726" s="44"/>
      <c r="W3726" s="44"/>
      <c r="X3726" s="44"/>
      <c r="Y3726" s="44"/>
    </row>
    <row r="3727" spans="14:25" ht="15" customHeight="1" x14ac:dyDescent="0.25">
      <c r="N3727" s="44"/>
      <c r="O3727" s="44"/>
      <c r="P3727" s="44"/>
      <c r="Q3727" s="44"/>
      <c r="R3727" s="44"/>
      <c r="S3727" s="44"/>
      <c r="T3727" s="44"/>
      <c r="U3727" s="44"/>
      <c r="V3727" s="44"/>
      <c r="W3727" s="44"/>
      <c r="X3727" s="44"/>
      <c r="Y3727" s="44"/>
    </row>
    <row r="3728" spans="14:25" ht="15" customHeight="1" x14ac:dyDescent="0.25">
      <c r="N3728" s="44"/>
      <c r="O3728" s="44"/>
      <c r="P3728" s="44"/>
      <c r="Q3728" s="44"/>
      <c r="R3728" s="44"/>
      <c r="S3728" s="44"/>
      <c r="T3728" s="44"/>
      <c r="U3728" s="44"/>
      <c r="V3728" s="44"/>
      <c r="W3728" s="44"/>
      <c r="X3728" s="44"/>
      <c r="Y3728" s="44"/>
    </row>
    <row r="3729" spans="14:25" ht="15" customHeight="1" x14ac:dyDescent="0.25">
      <c r="N3729" s="44"/>
      <c r="O3729" s="44"/>
      <c r="P3729" s="44"/>
      <c r="Q3729" s="44"/>
      <c r="R3729" s="44"/>
      <c r="S3729" s="44"/>
      <c r="T3729" s="44"/>
      <c r="U3729" s="44"/>
      <c r="V3729" s="44"/>
      <c r="W3729" s="44"/>
      <c r="X3729" s="44"/>
      <c r="Y3729" s="44"/>
    </row>
    <row r="3730" spans="14:25" ht="15" customHeight="1" x14ac:dyDescent="0.25">
      <c r="N3730" s="44"/>
      <c r="O3730" s="44"/>
      <c r="P3730" s="44"/>
      <c r="Q3730" s="44"/>
      <c r="R3730" s="44"/>
      <c r="S3730" s="44"/>
      <c r="T3730" s="44"/>
      <c r="U3730" s="44"/>
      <c r="V3730" s="44"/>
      <c r="W3730" s="44"/>
      <c r="X3730" s="44"/>
      <c r="Y3730" s="44"/>
    </row>
    <row r="3731" spans="14:25" ht="15" customHeight="1" x14ac:dyDescent="0.25">
      <c r="N3731" s="44"/>
      <c r="O3731" s="44"/>
      <c r="P3731" s="44"/>
      <c r="Q3731" s="44"/>
      <c r="R3731" s="44"/>
      <c r="S3731" s="44"/>
      <c r="T3731" s="44"/>
      <c r="U3731" s="44"/>
      <c r="V3731" s="44"/>
      <c r="W3731" s="44"/>
      <c r="X3731" s="44"/>
      <c r="Y3731" s="44"/>
    </row>
    <row r="3732" spans="14:25" ht="15" customHeight="1" x14ac:dyDescent="0.25">
      <c r="N3732" s="44"/>
      <c r="O3732" s="44"/>
      <c r="P3732" s="44"/>
      <c r="Q3732" s="44"/>
      <c r="R3732" s="44"/>
      <c r="S3732" s="44"/>
      <c r="T3732" s="44"/>
      <c r="U3732" s="44"/>
      <c r="V3732" s="44"/>
      <c r="W3732" s="44"/>
      <c r="X3732" s="44"/>
      <c r="Y3732" s="44"/>
    </row>
    <row r="3733" spans="14:25" ht="15" customHeight="1" x14ac:dyDescent="0.25">
      <c r="N3733" s="44"/>
      <c r="O3733" s="44"/>
      <c r="P3733" s="44"/>
      <c r="Q3733" s="44"/>
      <c r="R3733" s="44"/>
      <c r="S3733" s="44"/>
      <c r="T3733" s="44"/>
      <c r="U3733" s="44"/>
      <c r="V3733" s="44"/>
      <c r="W3733" s="44"/>
      <c r="X3733" s="44"/>
      <c r="Y3733" s="44"/>
    </row>
    <row r="3734" spans="14:25" ht="15" customHeight="1" x14ac:dyDescent="0.25">
      <c r="N3734" s="44"/>
      <c r="O3734" s="44"/>
      <c r="P3734" s="44"/>
      <c r="Q3734" s="44"/>
      <c r="R3734" s="44"/>
      <c r="S3734" s="44"/>
      <c r="T3734" s="44"/>
      <c r="U3734" s="44"/>
      <c r="V3734" s="44"/>
      <c r="W3734" s="44"/>
      <c r="X3734" s="44"/>
      <c r="Y3734" s="44"/>
    </row>
    <row r="3735" spans="14:25" ht="15" customHeight="1" x14ac:dyDescent="0.25">
      <c r="N3735" s="44"/>
      <c r="O3735" s="44"/>
      <c r="P3735" s="44"/>
      <c r="Q3735" s="44"/>
      <c r="R3735" s="44"/>
      <c r="S3735" s="44"/>
      <c r="T3735" s="44"/>
      <c r="U3735" s="44"/>
      <c r="V3735" s="44"/>
      <c r="W3735" s="44"/>
      <c r="X3735" s="44"/>
      <c r="Y3735" s="44"/>
    </row>
    <row r="3736" spans="14:25" ht="15" customHeight="1" x14ac:dyDescent="0.25">
      <c r="N3736" s="44"/>
      <c r="O3736" s="44"/>
      <c r="P3736" s="44"/>
      <c r="Q3736" s="44"/>
      <c r="R3736" s="44"/>
      <c r="S3736" s="44"/>
      <c r="T3736" s="44"/>
      <c r="U3736" s="44"/>
      <c r="V3736" s="44"/>
      <c r="W3736" s="44"/>
      <c r="X3736" s="44"/>
      <c r="Y3736" s="44"/>
    </row>
    <row r="3737" spans="14:25" ht="15" customHeight="1" x14ac:dyDescent="0.25">
      <c r="N3737" s="44"/>
      <c r="O3737" s="44"/>
      <c r="P3737" s="44"/>
      <c r="Q3737" s="44"/>
      <c r="R3737" s="44"/>
      <c r="S3737" s="44"/>
      <c r="T3737" s="44"/>
      <c r="U3737" s="44"/>
      <c r="V3737" s="44"/>
      <c r="W3737" s="44"/>
      <c r="X3737" s="44"/>
      <c r="Y3737" s="44"/>
    </row>
    <row r="3738" spans="14:25" ht="15" customHeight="1" x14ac:dyDescent="0.25">
      <c r="N3738" s="44"/>
      <c r="O3738" s="44"/>
      <c r="P3738" s="44"/>
      <c r="Q3738" s="44"/>
      <c r="R3738" s="44"/>
      <c r="S3738" s="44"/>
      <c r="T3738" s="44"/>
      <c r="U3738" s="44"/>
      <c r="V3738" s="44"/>
      <c r="W3738" s="44"/>
      <c r="X3738" s="44"/>
      <c r="Y3738" s="44"/>
    </row>
    <row r="3739" spans="14:25" ht="15" customHeight="1" x14ac:dyDescent="0.25">
      <c r="N3739" s="44"/>
      <c r="O3739" s="44"/>
      <c r="P3739" s="44"/>
      <c r="Q3739" s="44"/>
      <c r="R3739" s="44"/>
      <c r="S3739" s="44"/>
      <c r="T3739" s="44"/>
      <c r="U3739" s="44"/>
      <c r="V3739" s="44"/>
      <c r="W3739" s="44"/>
      <c r="X3739" s="44"/>
      <c r="Y3739" s="44"/>
    </row>
    <row r="3740" spans="14:25" ht="15" customHeight="1" x14ac:dyDescent="0.25">
      <c r="N3740" s="44"/>
      <c r="O3740" s="44"/>
      <c r="P3740" s="44"/>
      <c r="Q3740" s="44"/>
      <c r="R3740" s="44"/>
      <c r="S3740" s="44"/>
      <c r="T3740" s="44"/>
      <c r="U3740" s="44"/>
      <c r="V3740" s="44"/>
      <c r="W3740" s="44"/>
      <c r="X3740" s="44"/>
      <c r="Y3740" s="44"/>
    </row>
    <row r="3741" spans="14:25" ht="15" customHeight="1" x14ac:dyDescent="0.25">
      <c r="N3741" s="44"/>
      <c r="O3741" s="44"/>
      <c r="P3741" s="44"/>
      <c r="Q3741" s="44"/>
      <c r="R3741" s="44"/>
      <c r="S3741" s="44"/>
      <c r="T3741" s="44"/>
      <c r="U3741" s="44"/>
      <c r="V3741" s="44"/>
      <c r="W3741" s="44"/>
      <c r="X3741" s="44"/>
      <c r="Y3741" s="44"/>
    </row>
    <row r="3742" spans="14:25" ht="15" customHeight="1" x14ac:dyDescent="0.25">
      <c r="N3742" s="44"/>
      <c r="O3742" s="44"/>
      <c r="P3742" s="44"/>
      <c r="Q3742" s="44"/>
      <c r="R3742" s="44"/>
      <c r="S3742" s="44"/>
      <c r="T3742" s="44"/>
      <c r="U3742" s="44"/>
      <c r="V3742" s="44"/>
      <c r="W3742" s="44"/>
      <c r="X3742" s="44"/>
      <c r="Y3742" s="44"/>
    </row>
    <row r="3743" spans="14:25" ht="15" customHeight="1" x14ac:dyDescent="0.25">
      <c r="N3743" s="44"/>
      <c r="O3743" s="44"/>
      <c r="P3743" s="44"/>
      <c r="Q3743" s="44"/>
      <c r="R3743" s="44"/>
      <c r="S3743" s="44"/>
      <c r="T3743" s="44"/>
      <c r="U3743" s="44"/>
      <c r="V3743" s="44"/>
      <c r="W3743" s="44"/>
      <c r="X3743" s="44"/>
      <c r="Y3743" s="44"/>
    </row>
    <row r="3744" spans="14:25" ht="15" customHeight="1" x14ac:dyDescent="0.25">
      <c r="N3744" s="44"/>
      <c r="O3744" s="44"/>
      <c r="P3744" s="44"/>
      <c r="Q3744" s="44"/>
      <c r="R3744" s="44"/>
      <c r="S3744" s="44"/>
      <c r="T3744" s="44"/>
      <c r="U3744" s="44"/>
      <c r="V3744" s="44"/>
      <c r="W3744" s="44"/>
      <c r="X3744" s="44"/>
      <c r="Y3744" s="44"/>
    </row>
    <row r="3745" spans="14:25" ht="15" customHeight="1" x14ac:dyDescent="0.25">
      <c r="N3745" s="44"/>
      <c r="O3745" s="44"/>
      <c r="P3745" s="44"/>
      <c r="Q3745" s="44"/>
      <c r="R3745" s="44"/>
      <c r="S3745" s="44"/>
      <c r="T3745" s="44"/>
      <c r="U3745" s="44"/>
      <c r="V3745" s="44"/>
      <c r="W3745" s="44"/>
      <c r="X3745" s="44"/>
      <c r="Y3745" s="44"/>
    </row>
    <row r="3746" spans="14:25" ht="15" customHeight="1" x14ac:dyDescent="0.25">
      <c r="N3746" s="44"/>
      <c r="O3746" s="44"/>
      <c r="P3746" s="44"/>
      <c r="Q3746" s="44"/>
      <c r="R3746" s="44"/>
      <c r="S3746" s="44"/>
      <c r="T3746" s="44"/>
      <c r="U3746" s="44"/>
      <c r="V3746" s="44"/>
      <c r="W3746" s="44"/>
      <c r="X3746" s="44"/>
      <c r="Y3746" s="44"/>
    </row>
    <row r="3747" spans="14:25" ht="15" customHeight="1" x14ac:dyDescent="0.25">
      <c r="N3747" s="44"/>
      <c r="O3747" s="44"/>
      <c r="P3747" s="44"/>
      <c r="Q3747" s="44"/>
      <c r="R3747" s="44"/>
      <c r="S3747" s="44"/>
      <c r="T3747" s="44"/>
      <c r="U3747" s="44"/>
      <c r="V3747" s="44"/>
      <c r="W3747" s="44"/>
      <c r="X3747" s="44"/>
      <c r="Y3747" s="44"/>
    </row>
    <row r="3748" spans="14:25" ht="15" customHeight="1" x14ac:dyDescent="0.25">
      <c r="N3748" s="44"/>
      <c r="O3748" s="44"/>
      <c r="P3748" s="44"/>
      <c r="Q3748" s="44"/>
      <c r="R3748" s="44"/>
      <c r="S3748" s="44"/>
      <c r="T3748" s="44"/>
      <c r="U3748" s="44"/>
      <c r="V3748" s="44"/>
      <c r="W3748" s="44"/>
      <c r="X3748" s="44"/>
      <c r="Y3748" s="44"/>
    </row>
    <row r="3749" spans="14:25" ht="15" customHeight="1" x14ac:dyDescent="0.25">
      <c r="N3749" s="44"/>
      <c r="O3749" s="44"/>
      <c r="P3749" s="44"/>
      <c r="Q3749" s="44"/>
      <c r="R3749" s="44"/>
      <c r="S3749" s="44"/>
      <c r="T3749" s="44"/>
      <c r="U3749" s="44"/>
      <c r="V3749" s="44"/>
      <c r="W3749" s="44"/>
      <c r="X3749" s="44"/>
      <c r="Y3749" s="44"/>
    </row>
    <row r="3750" spans="14:25" ht="15" customHeight="1" x14ac:dyDescent="0.25">
      <c r="N3750" s="44"/>
      <c r="O3750" s="44"/>
      <c r="P3750" s="44"/>
      <c r="Q3750" s="44"/>
      <c r="R3750" s="44"/>
      <c r="S3750" s="44"/>
      <c r="T3750" s="44"/>
      <c r="U3750" s="44"/>
      <c r="V3750" s="44"/>
      <c r="W3750" s="44"/>
      <c r="X3750" s="44"/>
      <c r="Y3750" s="44"/>
    </row>
    <row r="3751" spans="14:25" ht="15" customHeight="1" x14ac:dyDescent="0.25">
      <c r="N3751" s="44"/>
      <c r="O3751" s="44"/>
      <c r="P3751" s="44"/>
      <c r="Q3751" s="44"/>
      <c r="R3751" s="44"/>
      <c r="S3751" s="44"/>
      <c r="T3751" s="44"/>
      <c r="U3751" s="44"/>
      <c r="V3751" s="44"/>
      <c r="W3751" s="44"/>
      <c r="X3751" s="44"/>
      <c r="Y3751" s="44"/>
    </row>
    <row r="3752" spans="14:25" ht="15" customHeight="1" x14ac:dyDescent="0.25">
      <c r="N3752" s="44"/>
      <c r="O3752" s="44"/>
      <c r="P3752" s="44"/>
      <c r="Q3752" s="44"/>
      <c r="R3752" s="44"/>
      <c r="S3752" s="44"/>
      <c r="T3752" s="44"/>
      <c r="U3752" s="44"/>
      <c r="V3752" s="44"/>
      <c r="W3752" s="44"/>
      <c r="X3752" s="44"/>
      <c r="Y3752" s="44"/>
    </row>
    <row r="3753" spans="14:25" ht="15" customHeight="1" x14ac:dyDescent="0.25">
      <c r="N3753" s="44"/>
      <c r="O3753" s="44"/>
      <c r="P3753" s="44"/>
      <c r="Q3753" s="44"/>
      <c r="R3753" s="44"/>
      <c r="S3753" s="44"/>
      <c r="T3753" s="44"/>
      <c r="U3753" s="44"/>
      <c r="V3753" s="44"/>
      <c r="W3753" s="44"/>
      <c r="X3753" s="44"/>
      <c r="Y3753" s="44"/>
    </row>
    <row r="3754" spans="14:25" ht="15" customHeight="1" x14ac:dyDescent="0.25">
      <c r="N3754" s="44"/>
      <c r="O3754" s="44"/>
      <c r="P3754" s="44"/>
      <c r="Q3754" s="44"/>
      <c r="R3754" s="44"/>
      <c r="S3754" s="44"/>
      <c r="T3754" s="44"/>
      <c r="U3754" s="44"/>
      <c r="V3754" s="44"/>
      <c r="W3754" s="44"/>
      <c r="X3754" s="44"/>
      <c r="Y3754" s="44"/>
    </row>
    <row r="3755" spans="14:25" ht="15" customHeight="1" x14ac:dyDescent="0.25">
      <c r="N3755" s="44"/>
      <c r="O3755" s="44"/>
      <c r="P3755" s="44"/>
      <c r="Q3755" s="44"/>
      <c r="R3755" s="44"/>
      <c r="S3755" s="44"/>
      <c r="T3755" s="44"/>
      <c r="U3755" s="44"/>
      <c r="V3755" s="44"/>
      <c r="W3755" s="44"/>
      <c r="X3755" s="44"/>
      <c r="Y3755" s="44"/>
    </row>
    <row r="3756" spans="14:25" ht="15" customHeight="1" x14ac:dyDescent="0.25">
      <c r="N3756" s="44"/>
      <c r="O3756" s="44"/>
      <c r="P3756" s="44"/>
      <c r="Q3756" s="44"/>
      <c r="R3756" s="44"/>
      <c r="S3756" s="44"/>
      <c r="T3756" s="44"/>
      <c r="U3756" s="44"/>
      <c r="V3756" s="44"/>
      <c r="W3756" s="44"/>
      <c r="X3756" s="44"/>
      <c r="Y3756" s="44"/>
    </row>
    <row r="3757" spans="14:25" ht="15" customHeight="1" x14ac:dyDescent="0.25">
      <c r="N3757" s="44"/>
      <c r="O3757" s="44"/>
      <c r="P3757" s="44"/>
      <c r="Q3757" s="44"/>
      <c r="R3757" s="44"/>
      <c r="S3757" s="44"/>
      <c r="T3757" s="44"/>
      <c r="U3757" s="44"/>
      <c r="V3757" s="44"/>
      <c r="W3757" s="44"/>
      <c r="X3757" s="44"/>
      <c r="Y3757" s="44"/>
    </row>
    <row r="3758" spans="14:25" ht="15" customHeight="1" x14ac:dyDescent="0.25">
      <c r="N3758" s="44"/>
      <c r="O3758" s="44"/>
      <c r="P3758" s="44"/>
      <c r="Q3758" s="44"/>
      <c r="R3758" s="44"/>
      <c r="S3758" s="44"/>
      <c r="T3758" s="44"/>
      <c r="U3758" s="44"/>
      <c r="V3758" s="44"/>
      <c r="W3758" s="44"/>
      <c r="X3758" s="44"/>
      <c r="Y3758" s="44"/>
    </row>
    <row r="3759" spans="14:25" ht="15" customHeight="1" x14ac:dyDescent="0.25">
      <c r="N3759" s="44"/>
      <c r="O3759" s="44"/>
      <c r="P3759" s="44"/>
      <c r="Q3759" s="44"/>
      <c r="R3759" s="44"/>
      <c r="S3759" s="44"/>
      <c r="T3759" s="44"/>
      <c r="U3759" s="44"/>
      <c r="V3759" s="44"/>
      <c r="W3759" s="44"/>
      <c r="X3759" s="44"/>
      <c r="Y3759" s="44"/>
    </row>
    <row r="3760" spans="14:25" ht="15" customHeight="1" x14ac:dyDescent="0.25">
      <c r="N3760" s="44"/>
      <c r="O3760" s="44"/>
      <c r="P3760" s="44"/>
      <c r="Q3760" s="44"/>
      <c r="R3760" s="44"/>
      <c r="S3760" s="44"/>
      <c r="T3760" s="44"/>
      <c r="U3760" s="44"/>
      <c r="V3760" s="44"/>
      <c r="W3760" s="44"/>
      <c r="X3760" s="44"/>
      <c r="Y3760" s="44"/>
    </row>
    <row r="3761" spans="14:25" ht="15" customHeight="1" x14ac:dyDescent="0.25">
      <c r="N3761" s="44"/>
      <c r="O3761" s="44"/>
      <c r="P3761" s="44"/>
      <c r="Q3761" s="44"/>
      <c r="R3761" s="44"/>
      <c r="S3761" s="44"/>
      <c r="T3761" s="44"/>
      <c r="U3761" s="44"/>
      <c r="V3761" s="44"/>
      <c r="W3761" s="44"/>
      <c r="X3761" s="44"/>
      <c r="Y3761" s="44"/>
    </row>
    <row r="3762" spans="14:25" ht="15" customHeight="1" x14ac:dyDescent="0.25">
      <c r="N3762" s="44"/>
      <c r="O3762" s="44"/>
      <c r="P3762" s="44"/>
      <c r="Q3762" s="44"/>
      <c r="R3762" s="44"/>
      <c r="S3762" s="44"/>
      <c r="T3762" s="44"/>
      <c r="U3762" s="44"/>
      <c r="V3762" s="44"/>
      <c r="W3762" s="44"/>
      <c r="X3762" s="44"/>
      <c r="Y3762" s="44"/>
    </row>
    <row r="3763" spans="14:25" ht="15" customHeight="1" x14ac:dyDescent="0.25">
      <c r="N3763" s="44"/>
      <c r="O3763" s="44"/>
      <c r="P3763" s="44"/>
      <c r="Q3763" s="44"/>
      <c r="R3763" s="44"/>
      <c r="S3763" s="44"/>
      <c r="T3763" s="44"/>
      <c r="U3763" s="44"/>
      <c r="V3763" s="44"/>
      <c r="W3763" s="44"/>
      <c r="X3763" s="44"/>
      <c r="Y3763" s="44"/>
    </row>
    <row r="3764" spans="14:25" ht="15" customHeight="1" x14ac:dyDescent="0.25">
      <c r="N3764" s="44"/>
      <c r="O3764" s="44"/>
      <c r="P3764" s="44"/>
      <c r="Q3764" s="44"/>
      <c r="R3764" s="44"/>
      <c r="S3764" s="44"/>
      <c r="T3764" s="44"/>
      <c r="U3764" s="44"/>
      <c r="V3764" s="44"/>
      <c r="W3764" s="44"/>
      <c r="X3764" s="44"/>
      <c r="Y3764" s="44"/>
    </row>
    <row r="3765" spans="14:25" ht="15" customHeight="1" x14ac:dyDescent="0.25">
      <c r="N3765" s="44"/>
      <c r="O3765" s="44"/>
      <c r="P3765" s="44"/>
      <c r="Q3765" s="44"/>
      <c r="R3765" s="44"/>
      <c r="S3765" s="44"/>
      <c r="T3765" s="44"/>
      <c r="U3765" s="44"/>
      <c r="V3765" s="44"/>
      <c r="W3765" s="44"/>
      <c r="X3765" s="44"/>
      <c r="Y3765" s="44"/>
    </row>
    <row r="3766" spans="14:25" ht="15" customHeight="1" x14ac:dyDescent="0.25">
      <c r="N3766" s="44"/>
      <c r="O3766" s="44"/>
      <c r="P3766" s="44"/>
      <c r="Q3766" s="44"/>
      <c r="R3766" s="44"/>
      <c r="S3766" s="44"/>
      <c r="T3766" s="44"/>
      <c r="U3766" s="44"/>
      <c r="V3766" s="44"/>
      <c r="W3766" s="44"/>
      <c r="X3766" s="44"/>
      <c r="Y3766" s="44"/>
    </row>
    <row r="3767" spans="14:25" ht="15" customHeight="1" x14ac:dyDescent="0.25">
      <c r="N3767" s="44"/>
      <c r="O3767" s="44"/>
      <c r="P3767" s="44"/>
      <c r="Q3767" s="44"/>
      <c r="R3767" s="44"/>
      <c r="S3767" s="44"/>
      <c r="T3767" s="44"/>
      <c r="U3767" s="44"/>
      <c r="V3767" s="44"/>
      <c r="W3767" s="44"/>
      <c r="X3767" s="44"/>
      <c r="Y3767" s="44"/>
    </row>
    <row r="3768" spans="14:25" ht="15" customHeight="1" x14ac:dyDescent="0.25">
      <c r="N3768" s="44"/>
      <c r="O3768" s="44"/>
      <c r="P3768" s="44"/>
      <c r="Q3768" s="44"/>
      <c r="R3768" s="44"/>
      <c r="S3768" s="44"/>
      <c r="T3768" s="44"/>
      <c r="U3768" s="44"/>
      <c r="V3768" s="44"/>
      <c r="W3768" s="44"/>
      <c r="X3768" s="44"/>
      <c r="Y3768" s="44"/>
    </row>
    <row r="3769" spans="14:25" ht="15" customHeight="1" x14ac:dyDescent="0.25">
      <c r="N3769" s="44"/>
      <c r="O3769" s="44"/>
      <c r="P3769" s="44"/>
      <c r="Q3769" s="44"/>
      <c r="R3769" s="44"/>
      <c r="S3769" s="44"/>
      <c r="T3769" s="44"/>
      <c r="U3769" s="44"/>
      <c r="V3769" s="44"/>
      <c r="W3769" s="44"/>
      <c r="X3769" s="44"/>
      <c r="Y3769" s="44"/>
    </row>
    <row r="3770" spans="14:25" ht="15" customHeight="1" x14ac:dyDescent="0.25">
      <c r="N3770" s="44"/>
      <c r="O3770" s="44"/>
      <c r="P3770" s="44"/>
      <c r="Q3770" s="44"/>
      <c r="R3770" s="44"/>
      <c r="S3770" s="44"/>
      <c r="T3770" s="44"/>
      <c r="U3770" s="44"/>
      <c r="V3770" s="44"/>
      <c r="W3770" s="44"/>
      <c r="X3770" s="44"/>
      <c r="Y3770" s="44"/>
    </row>
    <row r="3771" spans="14:25" ht="15" customHeight="1" x14ac:dyDescent="0.25">
      <c r="N3771" s="44"/>
      <c r="O3771" s="44"/>
      <c r="P3771" s="44"/>
      <c r="Q3771" s="44"/>
      <c r="R3771" s="44"/>
      <c r="S3771" s="44"/>
      <c r="T3771" s="44"/>
      <c r="U3771" s="44"/>
      <c r="V3771" s="44"/>
      <c r="W3771" s="44"/>
      <c r="X3771" s="44"/>
      <c r="Y3771" s="44"/>
    </row>
    <row r="3772" spans="14:25" ht="15" customHeight="1" x14ac:dyDescent="0.25">
      <c r="N3772" s="44"/>
      <c r="O3772" s="44"/>
      <c r="P3772" s="44"/>
      <c r="Q3772" s="44"/>
      <c r="R3772" s="44"/>
      <c r="S3772" s="44"/>
      <c r="T3772" s="44"/>
      <c r="U3772" s="44"/>
      <c r="V3772" s="44"/>
      <c r="W3772" s="44"/>
      <c r="X3772" s="44"/>
      <c r="Y3772" s="44"/>
    </row>
    <row r="3773" spans="14:25" ht="15" customHeight="1" x14ac:dyDescent="0.25">
      <c r="N3773" s="44"/>
      <c r="O3773" s="44"/>
      <c r="P3773" s="44"/>
      <c r="Q3773" s="44"/>
      <c r="R3773" s="44"/>
      <c r="S3773" s="44"/>
      <c r="T3773" s="44"/>
      <c r="U3773" s="44"/>
      <c r="V3773" s="44"/>
      <c r="W3773" s="44"/>
      <c r="X3773" s="44"/>
      <c r="Y3773" s="44"/>
    </row>
    <row r="3774" spans="14:25" ht="15" customHeight="1" x14ac:dyDescent="0.25">
      <c r="N3774" s="44"/>
      <c r="O3774" s="44"/>
      <c r="P3774" s="44"/>
      <c r="Q3774" s="44"/>
      <c r="R3774" s="44"/>
      <c r="S3774" s="44"/>
      <c r="T3774" s="44"/>
      <c r="U3774" s="44"/>
      <c r="V3774" s="44"/>
      <c r="W3774" s="44"/>
      <c r="X3774" s="44"/>
      <c r="Y3774" s="44"/>
    </row>
    <row r="3775" spans="14:25" ht="15" customHeight="1" x14ac:dyDescent="0.25">
      <c r="N3775" s="44"/>
      <c r="O3775" s="44"/>
      <c r="P3775" s="44"/>
      <c r="Q3775" s="44"/>
      <c r="R3775" s="44"/>
      <c r="S3775" s="44"/>
      <c r="T3775" s="44"/>
      <c r="U3775" s="44"/>
      <c r="V3775" s="44"/>
      <c r="W3775" s="44"/>
      <c r="X3775" s="44"/>
      <c r="Y3775" s="44"/>
    </row>
    <row r="3776" spans="14:25" ht="15" customHeight="1" x14ac:dyDescent="0.25">
      <c r="N3776" s="44"/>
      <c r="O3776" s="44"/>
      <c r="P3776" s="44"/>
      <c r="Q3776" s="44"/>
      <c r="R3776" s="44"/>
      <c r="S3776" s="44"/>
      <c r="T3776" s="44"/>
      <c r="U3776" s="44"/>
      <c r="V3776" s="44"/>
      <c r="W3776" s="44"/>
      <c r="X3776" s="44"/>
      <c r="Y3776" s="44"/>
    </row>
    <row r="3777" spans="14:25" ht="15" customHeight="1" x14ac:dyDescent="0.25">
      <c r="N3777" s="44"/>
      <c r="O3777" s="44"/>
      <c r="P3777" s="44"/>
      <c r="Q3777" s="44"/>
      <c r="R3777" s="44"/>
      <c r="S3777" s="44"/>
      <c r="T3777" s="44"/>
      <c r="U3777" s="44"/>
      <c r="V3777" s="44"/>
      <c r="W3777" s="44"/>
      <c r="X3777" s="44"/>
      <c r="Y3777" s="44"/>
    </row>
    <row r="3778" spans="14:25" ht="15" customHeight="1" x14ac:dyDescent="0.25">
      <c r="N3778" s="44"/>
      <c r="O3778" s="44"/>
      <c r="P3778" s="44"/>
      <c r="Q3778" s="44"/>
      <c r="R3778" s="44"/>
      <c r="S3778" s="44"/>
      <c r="T3778" s="44"/>
      <c r="U3778" s="44"/>
      <c r="V3778" s="44"/>
      <c r="W3778" s="44"/>
      <c r="X3778" s="44"/>
      <c r="Y3778" s="44"/>
    </row>
    <row r="3779" spans="14:25" ht="15" customHeight="1" x14ac:dyDescent="0.25">
      <c r="N3779" s="44"/>
      <c r="O3779" s="44"/>
      <c r="P3779" s="44"/>
      <c r="Q3779" s="44"/>
      <c r="R3779" s="44"/>
      <c r="S3779" s="44"/>
      <c r="T3779" s="44"/>
      <c r="U3779" s="44"/>
      <c r="V3779" s="44"/>
      <c r="W3779" s="44"/>
      <c r="X3779" s="44"/>
      <c r="Y3779" s="44"/>
    </row>
    <row r="3780" spans="14:25" ht="15" customHeight="1" x14ac:dyDescent="0.25">
      <c r="N3780" s="44"/>
      <c r="O3780" s="44"/>
      <c r="P3780" s="44"/>
      <c r="Q3780" s="44"/>
      <c r="R3780" s="44"/>
      <c r="S3780" s="44"/>
      <c r="T3780" s="44"/>
      <c r="U3780" s="44"/>
      <c r="V3780" s="44"/>
      <c r="W3780" s="44"/>
      <c r="X3780" s="44"/>
      <c r="Y3780" s="44"/>
    </row>
    <row r="3781" spans="14:25" ht="15" customHeight="1" x14ac:dyDescent="0.25">
      <c r="N3781" s="44"/>
      <c r="O3781" s="44"/>
      <c r="P3781" s="44"/>
      <c r="Q3781" s="44"/>
      <c r="R3781" s="44"/>
      <c r="S3781" s="44"/>
      <c r="T3781" s="44"/>
      <c r="U3781" s="44"/>
      <c r="V3781" s="44"/>
      <c r="W3781" s="44"/>
      <c r="X3781" s="44"/>
      <c r="Y3781" s="44"/>
    </row>
    <row r="3782" spans="14:25" ht="15" customHeight="1" x14ac:dyDescent="0.25">
      <c r="N3782" s="44"/>
      <c r="O3782" s="44"/>
      <c r="P3782" s="44"/>
      <c r="Q3782" s="44"/>
      <c r="R3782" s="44"/>
      <c r="S3782" s="44"/>
      <c r="T3782" s="44"/>
      <c r="U3782" s="44"/>
      <c r="V3782" s="44"/>
      <c r="W3782" s="44"/>
      <c r="X3782" s="44"/>
      <c r="Y3782" s="44"/>
    </row>
    <row r="3783" spans="14:25" ht="15" customHeight="1" x14ac:dyDescent="0.25">
      <c r="N3783" s="44"/>
      <c r="O3783" s="44"/>
      <c r="P3783" s="44"/>
      <c r="Q3783" s="44"/>
      <c r="R3783" s="44"/>
      <c r="S3783" s="44"/>
      <c r="T3783" s="44"/>
      <c r="U3783" s="44"/>
      <c r="V3783" s="44"/>
      <c r="W3783" s="44"/>
      <c r="X3783" s="44"/>
      <c r="Y3783" s="44"/>
    </row>
    <row r="3784" spans="14:25" ht="15" customHeight="1" x14ac:dyDescent="0.25">
      <c r="N3784" s="44"/>
      <c r="O3784" s="44"/>
      <c r="P3784" s="44"/>
      <c r="Q3784" s="44"/>
      <c r="R3784" s="44"/>
      <c r="S3784" s="44"/>
      <c r="T3784" s="44"/>
      <c r="U3784" s="44"/>
      <c r="V3784" s="44"/>
      <c r="W3784" s="44"/>
      <c r="X3784" s="44"/>
      <c r="Y3784" s="44"/>
    </row>
    <row r="3785" spans="14:25" ht="15" customHeight="1" x14ac:dyDescent="0.25">
      <c r="N3785" s="44"/>
      <c r="O3785" s="44"/>
      <c r="P3785" s="44"/>
      <c r="Q3785" s="44"/>
      <c r="R3785" s="44"/>
      <c r="S3785" s="44"/>
      <c r="T3785" s="44"/>
      <c r="U3785" s="44"/>
      <c r="V3785" s="44"/>
      <c r="W3785" s="44"/>
      <c r="X3785" s="44"/>
      <c r="Y3785" s="44"/>
    </row>
    <row r="3786" spans="14:25" ht="15" customHeight="1" x14ac:dyDescent="0.25">
      <c r="N3786" s="44"/>
      <c r="O3786" s="44"/>
      <c r="P3786" s="44"/>
      <c r="Q3786" s="44"/>
      <c r="R3786" s="44"/>
      <c r="S3786" s="44"/>
      <c r="T3786" s="44"/>
      <c r="U3786" s="44"/>
      <c r="V3786" s="44"/>
      <c r="W3786" s="44"/>
      <c r="X3786" s="44"/>
      <c r="Y3786" s="44"/>
    </row>
    <row r="3787" spans="14:25" ht="15" customHeight="1" x14ac:dyDescent="0.25">
      <c r="N3787" s="44"/>
      <c r="O3787" s="44"/>
      <c r="P3787" s="44"/>
      <c r="Q3787" s="44"/>
      <c r="R3787" s="44"/>
      <c r="S3787" s="44"/>
      <c r="T3787" s="44"/>
      <c r="U3787" s="44"/>
      <c r="V3787" s="44"/>
      <c r="W3787" s="44"/>
      <c r="X3787" s="44"/>
      <c r="Y3787" s="44"/>
    </row>
    <row r="3788" spans="14:25" ht="15" customHeight="1" x14ac:dyDescent="0.25">
      <c r="N3788" s="44"/>
      <c r="O3788" s="44"/>
      <c r="P3788" s="44"/>
      <c r="Q3788" s="44"/>
      <c r="R3788" s="44"/>
      <c r="S3788" s="44"/>
      <c r="T3788" s="44"/>
      <c r="U3788" s="44"/>
      <c r="V3788" s="44"/>
      <c r="W3788" s="44"/>
      <c r="X3788" s="44"/>
      <c r="Y3788" s="44"/>
    </row>
    <row r="3789" spans="14:25" ht="15" customHeight="1" x14ac:dyDescent="0.25">
      <c r="N3789" s="44"/>
      <c r="O3789" s="44"/>
      <c r="P3789" s="44"/>
      <c r="Q3789" s="44"/>
      <c r="R3789" s="44"/>
      <c r="S3789" s="44"/>
      <c r="T3789" s="44"/>
      <c r="U3789" s="44"/>
      <c r="V3789" s="44"/>
      <c r="W3789" s="44"/>
      <c r="X3789" s="44"/>
      <c r="Y3789" s="44"/>
    </row>
    <row r="3790" spans="14:25" ht="15" customHeight="1" x14ac:dyDescent="0.25">
      <c r="N3790" s="44"/>
      <c r="O3790" s="44"/>
      <c r="P3790" s="44"/>
      <c r="Q3790" s="44"/>
      <c r="R3790" s="44"/>
      <c r="S3790" s="44"/>
      <c r="T3790" s="44"/>
      <c r="U3790" s="44"/>
      <c r="V3790" s="44"/>
      <c r="W3790" s="44"/>
      <c r="X3790" s="44"/>
      <c r="Y3790" s="44"/>
    </row>
    <row r="3791" spans="14:25" ht="15" customHeight="1" x14ac:dyDescent="0.25">
      <c r="N3791" s="44"/>
      <c r="O3791" s="44"/>
      <c r="P3791" s="44"/>
      <c r="Q3791" s="44"/>
      <c r="R3791" s="44"/>
      <c r="S3791" s="44"/>
      <c r="T3791" s="44"/>
      <c r="U3791" s="44"/>
      <c r="V3791" s="44"/>
      <c r="W3791" s="44"/>
      <c r="X3791" s="44"/>
      <c r="Y3791" s="44"/>
    </row>
    <row r="3792" spans="14:25" ht="15" customHeight="1" x14ac:dyDescent="0.25">
      <c r="N3792" s="44"/>
      <c r="O3792" s="44"/>
      <c r="P3792" s="44"/>
      <c r="Q3792" s="44"/>
      <c r="R3792" s="44"/>
      <c r="S3792" s="44"/>
      <c r="T3792" s="44"/>
      <c r="U3792" s="44"/>
      <c r="V3792" s="44"/>
      <c r="W3792" s="44"/>
      <c r="X3792" s="44"/>
      <c r="Y3792" s="44"/>
    </row>
    <row r="3793" spans="14:25" ht="15" customHeight="1" x14ac:dyDescent="0.25">
      <c r="N3793" s="44"/>
      <c r="O3793" s="44"/>
      <c r="P3793" s="44"/>
      <c r="Q3793" s="44"/>
      <c r="R3793" s="44"/>
      <c r="S3793" s="44"/>
      <c r="T3793" s="44"/>
      <c r="U3793" s="44"/>
      <c r="V3793" s="44"/>
      <c r="W3793" s="44"/>
      <c r="X3793" s="44"/>
      <c r="Y3793" s="44"/>
    </row>
    <row r="3794" spans="14:25" ht="15" customHeight="1" x14ac:dyDescent="0.25">
      <c r="N3794" s="44"/>
      <c r="O3794" s="44"/>
      <c r="P3794" s="44"/>
      <c r="Q3794" s="44"/>
      <c r="R3794" s="44"/>
      <c r="S3794" s="44"/>
      <c r="T3794" s="44"/>
      <c r="U3794" s="44"/>
      <c r="V3794" s="44"/>
      <c r="W3794" s="44"/>
      <c r="X3794" s="44"/>
      <c r="Y3794" s="44"/>
    </row>
    <row r="3795" spans="14:25" ht="15" customHeight="1" x14ac:dyDescent="0.25">
      <c r="N3795" s="44"/>
      <c r="O3795" s="44"/>
      <c r="P3795" s="44"/>
      <c r="Q3795" s="44"/>
      <c r="R3795" s="44"/>
      <c r="S3795" s="44"/>
      <c r="T3795" s="44"/>
      <c r="U3795" s="44"/>
      <c r="V3795" s="44"/>
      <c r="W3795" s="44"/>
      <c r="X3795" s="44"/>
      <c r="Y3795" s="44"/>
    </row>
    <row r="3796" spans="14:25" ht="15" customHeight="1" x14ac:dyDescent="0.25">
      <c r="N3796" s="44"/>
      <c r="O3796" s="44"/>
      <c r="P3796" s="44"/>
      <c r="Q3796" s="44"/>
      <c r="R3796" s="44"/>
      <c r="S3796" s="44"/>
      <c r="T3796" s="44"/>
      <c r="U3796" s="44"/>
      <c r="V3796" s="44"/>
      <c r="W3796" s="44"/>
      <c r="X3796" s="44"/>
      <c r="Y3796" s="44"/>
    </row>
    <row r="3797" spans="14:25" ht="15" customHeight="1" x14ac:dyDescent="0.25">
      <c r="N3797" s="44"/>
      <c r="O3797" s="44"/>
      <c r="P3797" s="44"/>
      <c r="Q3797" s="44"/>
      <c r="R3797" s="44"/>
      <c r="S3797" s="44"/>
      <c r="T3797" s="44"/>
      <c r="U3797" s="44"/>
      <c r="V3797" s="44"/>
      <c r="W3797" s="44"/>
      <c r="X3797" s="44"/>
      <c r="Y3797" s="44"/>
    </row>
    <row r="3798" spans="14:25" ht="15" customHeight="1" x14ac:dyDescent="0.25">
      <c r="N3798" s="44"/>
      <c r="O3798" s="44"/>
      <c r="P3798" s="44"/>
      <c r="Q3798" s="44"/>
      <c r="R3798" s="44"/>
      <c r="S3798" s="44"/>
      <c r="T3798" s="44"/>
      <c r="U3798" s="44"/>
      <c r="V3798" s="44"/>
      <c r="W3798" s="44"/>
      <c r="X3798" s="44"/>
      <c r="Y3798" s="44"/>
    </row>
    <row r="3799" spans="14:25" ht="15" customHeight="1" x14ac:dyDescent="0.25">
      <c r="N3799" s="44"/>
      <c r="O3799" s="44"/>
      <c r="P3799" s="44"/>
      <c r="Q3799" s="44"/>
      <c r="R3799" s="44"/>
      <c r="S3799" s="44"/>
      <c r="T3799" s="44"/>
      <c r="U3799" s="44"/>
      <c r="V3799" s="44"/>
      <c r="W3799" s="44"/>
      <c r="X3799" s="44"/>
      <c r="Y3799" s="44"/>
    </row>
    <row r="3800" spans="14:25" ht="15" customHeight="1" x14ac:dyDescent="0.25">
      <c r="N3800" s="44"/>
      <c r="O3800" s="44"/>
      <c r="P3800" s="44"/>
      <c r="Q3800" s="44"/>
      <c r="R3800" s="44"/>
      <c r="S3800" s="44"/>
      <c r="T3800" s="44"/>
      <c r="U3800" s="44"/>
      <c r="V3800" s="44"/>
      <c r="W3800" s="44"/>
      <c r="X3800" s="44"/>
      <c r="Y3800" s="44"/>
    </row>
    <row r="3801" spans="14:25" ht="15" customHeight="1" x14ac:dyDescent="0.25">
      <c r="N3801" s="44"/>
      <c r="O3801" s="44"/>
      <c r="P3801" s="44"/>
      <c r="Q3801" s="44"/>
      <c r="R3801" s="44"/>
      <c r="S3801" s="44"/>
      <c r="T3801" s="44"/>
      <c r="U3801" s="44"/>
      <c r="V3801" s="44"/>
      <c r="W3801" s="44"/>
      <c r="X3801" s="44"/>
      <c r="Y3801" s="44"/>
    </row>
    <row r="3802" spans="14:25" ht="15" customHeight="1" x14ac:dyDescent="0.25">
      <c r="N3802" s="44"/>
      <c r="O3802" s="44"/>
      <c r="P3802" s="44"/>
      <c r="Q3802" s="44"/>
      <c r="R3802" s="44"/>
      <c r="S3802" s="44"/>
      <c r="T3802" s="44"/>
      <c r="U3802" s="44"/>
      <c r="V3802" s="44"/>
      <c r="W3802" s="44"/>
      <c r="X3802" s="44"/>
      <c r="Y3802" s="44"/>
    </row>
    <row r="3803" spans="14:25" ht="15" customHeight="1" x14ac:dyDescent="0.25">
      <c r="N3803" s="44"/>
      <c r="O3803" s="44"/>
      <c r="P3803" s="44"/>
      <c r="Q3803" s="44"/>
      <c r="R3803" s="44"/>
      <c r="S3803" s="44"/>
      <c r="T3803" s="44"/>
      <c r="U3803" s="44"/>
      <c r="V3803" s="44"/>
      <c r="W3803" s="44"/>
      <c r="X3803" s="44"/>
      <c r="Y3803" s="44"/>
    </row>
    <row r="3804" spans="14:25" ht="15" customHeight="1" x14ac:dyDescent="0.25">
      <c r="N3804" s="44"/>
      <c r="O3804" s="44"/>
      <c r="P3804" s="44"/>
      <c r="Q3804" s="44"/>
      <c r="R3804" s="44"/>
      <c r="S3804" s="44"/>
      <c r="T3804" s="44"/>
      <c r="U3804" s="44"/>
      <c r="V3804" s="44"/>
      <c r="W3804" s="44"/>
      <c r="X3804" s="44"/>
      <c r="Y3804" s="44"/>
    </row>
    <row r="3805" spans="14:25" ht="15" customHeight="1" x14ac:dyDescent="0.25">
      <c r="N3805" s="44"/>
      <c r="O3805" s="44"/>
      <c r="P3805" s="44"/>
      <c r="Q3805" s="44"/>
      <c r="R3805" s="44"/>
      <c r="S3805" s="44"/>
      <c r="T3805" s="44"/>
      <c r="U3805" s="44"/>
      <c r="V3805" s="44"/>
      <c r="W3805" s="44"/>
      <c r="X3805" s="44"/>
      <c r="Y3805" s="44"/>
    </row>
    <row r="3806" spans="14:25" ht="15" customHeight="1" x14ac:dyDescent="0.25">
      <c r="N3806" s="44"/>
      <c r="O3806" s="44"/>
      <c r="P3806" s="44"/>
      <c r="Q3806" s="44"/>
      <c r="R3806" s="44"/>
      <c r="S3806" s="44"/>
      <c r="T3806" s="44"/>
      <c r="U3806" s="44"/>
      <c r="V3806" s="44"/>
      <c r="W3806" s="44"/>
      <c r="X3806" s="44"/>
      <c r="Y3806" s="44"/>
    </row>
    <row r="3807" spans="14:25" ht="15" customHeight="1" x14ac:dyDescent="0.25">
      <c r="N3807" s="44"/>
      <c r="O3807" s="44"/>
      <c r="P3807" s="44"/>
      <c r="Q3807" s="44"/>
      <c r="R3807" s="44"/>
      <c r="S3807" s="44"/>
      <c r="T3807" s="44"/>
      <c r="U3807" s="44"/>
      <c r="V3807" s="44"/>
      <c r="W3807" s="44"/>
      <c r="X3807" s="44"/>
      <c r="Y3807" s="44"/>
    </row>
    <row r="3808" spans="14:25" ht="15" customHeight="1" x14ac:dyDescent="0.25">
      <c r="N3808" s="44"/>
      <c r="O3808" s="44"/>
      <c r="P3808" s="44"/>
      <c r="Q3808" s="44"/>
      <c r="R3808" s="44"/>
      <c r="S3808" s="44"/>
      <c r="T3808" s="44"/>
      <c r="U3808" s="44"/>
      <c r="V3808" s="44"/>
      <c r="W3808" s="44"/>
      <c r="X3808" s="44"/>
      <c r="Y3808" s="44"/>
    </row>
    <row r="3809" spans="14:25" ht="15" customHeight="1" x14ac:dyDescent="0.25">
      <c r="N3809" s="44"/>
      <c r="O3809" s="44"/>
      <c r="P3809" s="44"/>
      <c r="Q3809" s="44"/>
      <c r="R3809" s="44"/>
      <c r="S3809" s="44"/>
      <c r="T3809" s="44"/>
      <c r="U3809" s="44"/>
      <c r="V3809" s="44"/>
      <c r="W3809" s="44"/>
      <c r="X3809" s="44"/>
      <c r="Y3809" s="44"/>
    </row>
    <row r="3810" spans="14:25" ht="15" customHeight="1" x14ac:dyDescent="0.25">
      <c r="N3810" s="44"/>
      <c r="O3810" s="44"/>
      <c r="P3810" s="44"/>
      <c r="Q3810" s="44"/>
      <c r="R3810" s="44"/>
      <c r="S3810" s="44"/>
      <c r="T3810" s="44"/>
      <c r="U3810" s="44"/>
      <c r="V3810" s="44"/>
      <c r="W3810" s="44"/>
      <c r="X3810" s="44"/>
      <c r="Y3810" s="44"/>
    </row>
    <row r="3811" spans="14:25" ht="15" customHeight="1" x14ac:dyDescent="0.25">
      <c r="N3811" s="44"/>
      <c r="O3811" s="44"/>
      <c r="P3811" s="44"/>
      <c r="Q3811" s="44"/>
      <c r="R3811" s="44"/>
      <c r="S3811" s="44"/>
      <c r="T3811" s="44"/>
      <c r="U3811" s="44"/>
      <c r="V3811" s="44"/>
      <c r="W3811" s="44"/>
      <c r="X3811" s="44"/>
      <c r="Y3811" s="44"/>
    </row>
    <row r="3812" spans="14:25" ht="15" customHeight="1" x14ac:dyDescent="0.25">
      <c r="N3812" s="44"/>
      <c r="O3812" s="44"/>
      <c r="P3812" s="44"/>
      <c r="Q3812" s="44"/>
      <c r="R3812" s="44"/>
      <c r="S3812" s="44"/>
      <c r="T3812" s="44"/>
      <c r="U3812" s="44"/>
      <c r="V3812" s="44"/>
      <c r="W3812" s="44"/>
      <c r="X3812" s="44"/>
      <c r="Y3812" s="44"/>
    </row>
    <row r="3813" spans="14:25" ht="15" customHeight="1" x14ac:dyDescent="0.25">
      <c r="N3813" s="44"/>
      <c r="O3813" s="44"/>
      <c r="P3813" s="44"/>
      <c r="Q3813" s="44"/>
      <c r="R3813" s="44"/>
      <c r="S3813" s="44"/>
      <c r="T3813" s="44"/>
      <c r="U3813" s="44"/>
      <c r="V3813" s="44"/>
      <c r="W3813" s="44"/>
      <c r="X3813" s="44"/>
      <c r="Y3813" s="44"/>
    </row>
    <row r="3814" spans="14:25" ht="15" customHeight="1" x14ac:dyDescent="0.25">
      <c r="N3814" s="44"/>
      <c r="O3814" s="44"/>
      <c r="P3814" s="44"/>
      <c r="Q3814" s="44"/>
      <c r="R3814" s="44"/>
      <c r="S3814" s="44"/>
      <c r="T3814" s="44"/>
      <c r="U3814" s="44"/>
      <c r="V3814" s="44"/>
      <c r="W3814" s="44"/>
      <c r="X3814" s="44"/>
      <c r="Y3814" s="44"/>
    </row>
    <row r="3815" spans="14:25" ht="15" customHeight="1" x14ac:dyDescent="0.25">
      <c r="N3815" s="44"/>
      <c r="O3815" s="44"/>
      <c r="P3815" s="44"/>
      <c r="Q3815" s="44"/>
      <c r="R3815" s="44"/>
      <c r="S3815" s="44"/>
      <c r="T3815" s="44"/>
      <c r="U3815" s="44"/>
      <c r="V3815" s="44"/>
      <c r="W3815" s="44"/>
      <c r="X3815" s="44"/>
      <c r="Y3815" s="44"/>
    </row>
    <row r="3816" spans="14:25" ht="15" customHeight="1" x14ac:dyDescent="0.25">
      <c r="N3816" s="44"/>
      <c r="O3816" s="44"/>
      <c r="P3816" s="44"/>
      <c r="Q3816" s="44"/>
      <c r="R3816" s="44"/>
      <c r="S3816" s="44"/>
      <c r="T3816" s="44"/>
      <c r="U3816" s="44"/>
      <c r="V3816" s="44"/>
      <c r="W3816" s="44"/>
      <c r="X3816" s="44"/>
      <c r="Y3816" s="44"/>
    </row>
    <row r="3817" spans="14:25" ht="15" customHeight="1" x14ac:dyDescent="0.25">
      <c r="N3817" s="44"/>
      <c r="O3817" s="44"/>
      <c r="P3817" s="44"/>
      <c r="Q3817" s="44"/>
      <c r="R3817" s="44"/>
      <c r="S3817" s="44"/>
      <c r="T3817" s="44"/>
      <c r="U3817" s="44"/>
      <c r="V3817" s="44"/>
      <c r="W3817" s="44"/>
      <c r="X3817" s="44"/>
      <c r="Y3817" s="44"/>
    </row>
    <row r="3818" spans="14:25" ht="15" customHeight="1" x14ac:dyDescent="0.25">
      <c r="N3818" s="44"/>
      <c r="O3818" s="44"/>
      <c r="P3818" s="44"/>
      <c r="Q3818" s="44"/>
      <c r="R3818" s="44"/>
      <c r="S3818" s="44"/>
      <c r="T3818" s="44"/>
      <c r="U3818" s="44"/>
      <c r="V3818" s="44"/>
      <c r="W3818" s="44"/>
      <c r="X3818" s="44"/>
      <c r="Y3818" s="44"/>
    </row>
    <row r="3819" spans="14:25" ht="15" customHeight="1" x14ac:dyDescent="0.25">
      <c r="N3819" s="44"/>
      <c r="O3819" s="44"/>
      <c r="P3819" s="44"/>
      <c r="Q3819" s="44"/>
      <c r="R3819" s="44"/>
      <c r="S3819" s="44"/>
      <c r="T3819" s="44"/>
      <c r="U3819" s="44"/>
      <c r="V3819" s="44"/>
      <c r="W3819" s="44"/>
      <c r="X3819" s="44"/>
      <c r="Y3819" s="44"/>
    </row>
    <row r="3820" spans="14:25" ht="15" customHeight="1" x14ac:dyDescent="0.25">
      <c r="N3820" s="44"/>
      <c r="O3820" s="44"/>
      <c r="P3820" s="44"/>
      <c r="Q3820" s="44"/>
      <c r="R3820" s="44"/>
      <c r="S3820" s="44"/>
      <c r="T3820" s="44"/>
      <c r="U3820" s="44"/>
      <c r="V3820" s="44"/>
      <c r="W3820" s="44"/>
      <c r="X3820" s="44"/>
      <c r="Y3820" s="44"/>
    </row>
    <row r="3821" spans="14:25" ht="15" customHeight="1" x14ac:dyDescent="0.25">
      <c r="N3821" s="44"/>
      <c r="O3821" s="44"/>
      <c r="P3821" s="44"/>
      <c r="Q3821" s="44"/>
      <c r="R3821" s="44"/>
      <c r="S3821" s="44"/>
      <c r="T3821" s="44"/>
      <c r="U3821" s="44"/>
      <c r="V3821" s="44"/>
      <c r="W3821" s="44"/>
      <c r="X3821" s="44"/>
      <c r="Y3821" s="44"/>
    </row>
    <row r="3822" spans="14:25" ht="15" customHeight="1" x14ac:dyDescent="0.25">
      <c r="N3822" s="44"/>
      <c r="O3822" s="44"/>
      <c r="P3822" s="44"/>
      <c r="Q3822" s="44"/>
      <c r="R3822" s="44"/>
      <c r="S3822" s="44"/>
      <c r="T3822" s="44"/>
      <c r="U3822" s="44"/>
      <c r="V3822" s="44"/>
      <c r="W3822" s="44"/>
      <c r="X3822" s="44"/>
      <c r="Y3822" s="44"/>
    </row>
    <row r="3823" spans="14:25" ht="15" customHeight="1" x14ac:dyDescent="0.25">
      <c r="N3823" s="44"/>
      <c r="O3823" s="44"/>
      <c r="P3823" s="44"/>
      <c r="Q3823" s="44"/>
      <c r="R3823" s="44"/>
      <c r="S3823" s="44"/>
      <c r="T3823" s="44"/>
      <c r="U3823" s="44"/>
      <c r="V3823" s="44"/>
      <c r="W3823" s="44"/>
      <c r="X3823" s="44"/>
      <c r="Y3823" s="44"/>
    </row>
    <row r="3824" spans="14:25" ht="15" customHeight="1" x14ac:dyDescent="0.25">
      <c r="N3824" s="44"/>
      <c r="O3824" s="44"/>
      <c r="P3824" s="44"/>
      <c r="Q3824" s="44"/>
      <c r="R3824" s="44"/>
      <c r="S3824" s="44"/>
      <c r="T3824" s="44"/>
      <c r="U3824" s="44"/>
      <c r="V3824" s="44"/>
      <c r="W3824" s="44"/>
      <c r="X3824" s="44"/>
      <c r="Y3824" s="44"/>
    </row>
    <row r="3825" spans="14:25" ht="15" customHeight="1" x14ac:dyDescent="0.25">
      <c r="N3825" s="44"/>
      <c r="O3825" s="44"/>
      <c r="P3825" s="44"/>
      <c r="Q3825" s="44"/>
      <c r="R3825" s="44"/>
      <c r="S3825" s="44"/>
      <c r="T3825" s="44"/>
      <c r="U3825" s="44"/>
      <c r="V3825" s="44"/>
      <c r="W3825" s="44"/>
      <c r="X3825" s="44"/>
      <c r="Y3825" s="44"/>
    </row>
    <row r="3826" spans="14:25" ht="15" customHeight="1" x14ac:dyDescent="0.25">
      <c r="N3826" s="44"/>
      <c r="O3826" s="44"/>
      <c r="P3826" s="44"/>
      <c r="Q3826" s="44"/>
      <c r="R3826" s="44"/>
      <c r="S3826" s="44"/>
      <c r="T3826" s="44"/>
      <c r="U3826" s="44"/>
      <c r="V3826" s="44"/>
      <c r="W3826" s="44"/>
      <c r="X3826" s="44"/>
      <c r="Y3826" s="44"/>
    </row>
    <row r="3827" spans="14:25" ht="15" customHeight="1" x14ac:dyDescent="0.25">
      <c r="N3827" s="44"/>
      <c r="O3827" s="44"/>
      <c r="P3827" s="44"/>
      <c r="Q3827" s="44"/>
      <c r="R3827" s="44"/>
      <c r="S3827" s="44"/>
      <c r="T3827" s="44"/>
      <c r="U3827" s="44"/>
      <c r="V3827" s="44"/>
      <c r="W3827" s="44"/>
      <c r="X3827" s="44"/>
      <c r="Y3827" s="44"/>
    </row>
    <row r="3828" spans="14:25" ht="15" customHeight="1" x14ac:dyDescent="0.25">
      <c r="N3828" s="44"/>
      <c r="O3828" s="44"/>
      <c r="P3828" s="44"/>
      <c r="Q3828" s="44"/>
      <c r="R3828" s="44"/>
      <c r="S3828" s="44"/>
      <c r="T3828" s="44"/>
      <c r="U3828" s="44"/>
      <c r="V3828" s="44"/>
      <c r="W3828" s="44"/>
      <c r="X3828" s="44"/>
      <c r="Y3828" s="44"/>
    </row>
    <row r="3829" spans="14:25" ht="15" customHeight="1" x14ac:dyDescent="0.25">
      <c r="N3829" s="44"/>
      <c r="O3829" s="44"/>
      <c r="P3829" s="44"/>
      <c r="Q3829" s="44"/>
      <c r="R3829" s="44"/>
      <c r="S3829" s="44"/>
      <c r="T3829" s="44"/>
      <c r="U3829" s="44"/>
      <c r="V3829" s="44"/>
      <c r="W3829" s="44"/>
      <c r="X3829" s="44"/>
      <c r="Y3829" s="44"/>
    </row>
    <row r="3830" spans="14:25" ht="15" customHeight="1" x14ac:dyDescent="0.25">
      <c r="N3830" s="44"/>
      <c r="O3830" s="44"/>
      <c r="P3830" s="44"/>
      <c r="Q3830" s="44"/>
      <c r="R3830" s="44"/>
      <c r="S3830" s="44"/>
      <c r="T3830" s="44"/>
      <c r="U3830" s="44"/>
      <c r="V3830" s="44"/>
      <c r="W3830" s="44"/>
      <c r="X3830" s="44"/>
      <c r="Y3830" s="44"/>
    </row>
    <row r="3831" spans="14:25" ht="15" customHeight="1" x14ac:dyDescent="0.25">
      <c r="N3831" s="44"/>
      <c r="O3831" s="44"/>
      <c r="P3831" s="44"/>
      <c r="Q3831" s="44"/>
      <c r="R3831" s="44"/>
      <c r="S3831" s="44"/>
      <c r="T3831" s="44"/>
      <c r="U3831" s="44"/>
      <c r="V3831" s="44"/>
      <c r="W3831" s="44"/>
      <c r="X3831" s="44"/>
      <c r="Y3831" s="44"/>
    </row>
    <row r="3832" spans="14:25" ht="15" customHeight="1" x14ac:dyDescent="0.25">
      <c r="N3832" s="44"/>
      <c r="O3832" s="44"/>
      <c r="P3832" s="44"/>
      <c r="Q3832" s="44"/>
      <c r="R3832" s="44"/>
      <c r="S3832" s="44"/>
      <c r="T3832" s="44"/>
      <c r="U3832" s="44"/>
      <c r="V3832" s="44"/>
      <c r="W3832" s="44"/>
      <c r="X3832" s="44"/>
      <c r="Y3832" s="44"/>
    </row>
    <row r="3833" spans="14:25" ht="15" customHeight="1" x14ac:dyDescent="0.25">
      <c r="N3833" s="44"/>
      <c r="O3833" s="44"/>
      <c r="P3833" s="44"/>
      <c r="Q3833" s="44"/>
      <c r="R3833" s="44"/>
      <c r="S3833" s="44"/>
      <c r="T3833" s="44"/>
      <c r="U3833" s="44"/>
      <c r="V3833" s="44"/>
      <c r="W3833" s="44"/>
      <c r="X3833" s="44"/>
      <c r="Y3833" s="44"/>
    </row>
    <row r="3834" spans="14:25" ht="15" customHeight="1" x14ac:dyDescent="0.25">
      <c r="N3834" s="44"/>
      <c r="O3834" s="44"/>
      <c r="P3834" s="44"/>
      <c r="Q3834" s="44"/>
      <c r="R3834" s="44"/>
      <c r="S3834" s="44"/>
      <c r="T3834" s="44"/>
      <c r="U3834" s="44"/>
      <c r="V3834" s="44"/>
      <c r="W3834" s="44"/>
      <c r="X3834" s="44"/>
      <c r="Y3834" s="44"/>
    </row>
    <row r="3835" spans="14:25" ht="15" customHeight="1" x14ac:dyDescent="0.25">
      <c r="N3835" s="44"/>
      <c r="O3835" s="44"/>
      <c r="P3835" s="44"/>
      <c r="Q3835" s="44"/>
      <c r="R3835" s="44"/>
      <c r="S3835" s="44"/>
      <c r="T3835" s="44"/>
      <c r="U3835" s="44"/>
      <c r="V3835" s="44"/>
      <c r="W3835" s="44"/>
      <c r="X3835" s="44"/>
      <c r="Y3835" s="44"/>
    </row>
    <row r="3836" spans="14:25" ht="15" customHeight="1" x14ac:dyDescent="0.25">
      <c r="N3836" s="44"/>
      <c r="O3836" s="44"/>
      <c r="P3836" s="44"/>
      <c r="Q3836" s="44"/>
      <c r="R3836" s="44"/>
      <c r="S3836" s="44"/>
      <c r="T3836" s="44"/>
      <c r="U3836" s="44"/>
      <c r="V3836" s="44"/>
      <c r="W3836" s="44"/>
      <c r="X3836" s="44"/>
      <c r="Y3836" s="44"/>
    </row>
    <row r="3837" spans="14:25" ht="15" customHeight="1" x14ac:dyDescent="0.25">
      <c r="N3837" s="44"/>
      <c r="O3837" s="44"/>
      <c r="P3837" s="44"/>
      <c r="Q3837" s="44"/>
      <c r="R3837" s="44"/>
      <c r="S3837" s="44"/>
      <c r="T3837" s="44"/>
      <c r="U3837" s="44"/>
      <c r="V3837" s="44"/>
      <c r="W3837" s="44"/>
      <c r="X3837" s="44"/>
      <c r="Y3837" s="44"/>
    </row>
    <row r="3838" spans="14:25" ht="15" customHeight="1" x14ac:dyDescent="0.25">
      <c r="N3838" s="44"/>
      <c r="O3838" s="44"/>
      <c r="P3838" s="44"/>
      <c r="Q3838" s="44"/>
      <c r="R3838" s="44"/>
      <c r="S3838" s="44"/>
      <c r="T3838" s="44"/>
      <c r="U3838" s="44"/>
      <c r="V3838" s="44"/>
      <c r="W3838" s="44"/>
      <c r="X3838" s="44"/>
      <c r="Y3838" s="44"/>
    </row>
    <row r="3839" spans="14:25" ht="15" customHeight="1" x14ac:dyDescent="0.25">
      <c r="N3839" s="44"/>
      <c r="O3839" s="44"/>
      <c r="P3839" s="44"/>
      <c r="Q3839" s="44"/>
      <c r="R3839" s="44"/>
      <c r="S3839" s="44"/>
      <c r="T3839" s="44"/>
      <c r="U3839" s="44"/>
      <c r="V3839" s="44"/>
      <c r="W3839" s="44"/>
      <c r="X3839" s="44"/>
      <c r="Y3839" s="44"/>
    </row>
    <row r="3840" spans="14:25" ht="15" customHeight="1" x14ac:dyDescent="0.25">
      <c r="N3840" s="44"/>
      <c r="O3840" s="44"/>
      <c r="P3840" s="44"/>
      <c r="Q3840" s="44"/>
      <c r="R3840" s="44"/>
      <c r="S3840" s="44"/>
      <c r="T3840" s="44"/>
      <c r="U3840" s="44"/>
      <c r="V3840" s="44"/>
      <c r="W3840" s="44"/>
      <c r="X3840" s="44"/>
      <c r="Y3840" s="44"/>
    </row>
    <row r="3841" spans="14:25" ht="15" customHeight="1" x14ac:dyDescent="0.25">
      <c r="N3841" s="44"/>
      <c r="O3841" s="44"/>
      <c r="P3841" s="44"/>
      <c r="Q3841" s="44"/>
      <c r="R3841" s="44"/>
      <c r="S3841" s="44"/>
      <c r="T3841" s="44"/>
      <c r="U3841" s="44"/>
      <c r="V3841" s="44"/>
      <c r="W3841" s="44"/>
      <c r="X3841" s="44"/>
      <c r="Y3841" s="44"/>
    </row>
    <row r="3842" spans="14:25" ht="15" customHeight="1" x14ac:dyDescent="0.25">
      <c r="N3842" s="44"/>
      <c r="O3842" s="44"/>
      <c r="P3842" s="44"/>
      <c r="Q3842" s="44"/>
      <c r="R3842" s="44"/>
      <c r="S3842" s="44"/>
      <c r="T3842" s="44"/>
      <c r="U3842" s="44"/>
      <c r="V3842" s="44"/>
      <c r="W3842" s="44"/>
      <c r="X3842" s="44"/>
      <c r="Y3842" s="44"/>
    </row>
    <row r="3843" spans="14:25" ht="15" customHeight="1" x14ac:dyDescent="0.25">
      <c r="N3843" s="44"/>
      <c r="O3843" s="44"/>
      <c r="P3843" s="44"/>
      <c r="Q3843" s="44"/>
      <c r="R3843" s="44"/>
      <c r="S3843" s="44"/>
      <c r="T3843" s="44"/>
      <c r="U3843" s="44"/>
      <c r="V3843" s="44"/>
      <c r="W3843" s="44"/>
      <c r="X3843" s="44"/>
      <c r="Y3843" s="44"/>
    </row>
    <row r="3844" spans="14:25" ht="15" customHeight="1" x14ac:dyDescent="0.25">
      <c r="N3844" s="44"/>
      <c r="O3844" s="44"/>
      <c r="P3844" s="44"/>
      <c r="Q3844" s="44"/>
      <c r="R3844" s="44"/>
      <c r="S3844" s="44"/>
      <c r="T3844" s="44"/>
      <c r="U3844" s="44"/>
      <c r="V3844" s="44"/>
      <c r="W3844" s="44"/>
      <c r="X3844" s="44"/>
      <c r="Y3844" s="44"/>
    </row>
    <row r="3845" spans="14:25" ht="15" customHeight="1" x14ac:dyDescent="0.25">
      <c r="N3845" s="44"/>
      <c r="O3845" s="44"/>
      <c r="P3845" s="44"/>
      <c r="Q3845" s="44"/>
      <c r="R3845" s="44"/>
      <c r="S3845" s="44"/>
      <c r="T3845" s="44"/>
      <c r="U3845" s="44"/>
      <c r="V3845" s="44"/>
      <c r="W3845" s="44"/>
      <c r="X3845" s="44"/>
      <c r="Y3845" s="44"/>
    </row>
    <row r="3846" spans="14:25" ht="15" customHeight="1" x14ac:dyDescent="0.25">
      <c r="N3846" s="44"/>
      <c r="O3846" s="44"/>
      <c r="P3846" s="44"/>
      <c r="Q3846" s="44"/>
      <c r="R3846" s="44"/>
      <c r="S3846" s="44"/>
      <c r="T3846" s="44"/>
      <c r="U3846" s="44"/>
      <c r="V3846" s="44"/>
      <c r="W3846" s="44"/>
      <c r="X3846" s="44"/>
      <c r="Y3846" s="44"/>
    </row>
    <row r="3847" spans="14:25" ht="15" customHeight="1" x14ac:dyDescent="0.25">
      <c r="N3847" s="44"/>
      <c r="O3847" s="44"/>
      <c r="P3847" s="44"/>
      <c r="Q3847" s="44"/>
      <c r="R3847" s="44"/>
      <c r="S3847" s="44"/>
      <c r="T3847" s="44"/>
      <c r="U3847" s="44"/>
      <c r="V3847" s="44"/>
      <c r="W3847" s="44"/>
      <c r="X3847" s="44"/>
      <c r="Y3847" s="44"/>
    </row>
    <row r="3848" spans="14:25" ht="15" customHeight="1" x14ac:dyDescent="0.25">
      <c r="N3848" s="44"/>
      <c r="O3848" s="44"/>
      <c r="P3848" s="44"/>
      <c r="Q3848" s="44"/>
      <c r="R3848" s="44"/>
      <c r="S3848" s="44"/>
      <c r="T3848" s="44"/>
      <c r="U3848" s="44"/>
      <c r="V3848" s="44"/>
      <c r="W3848" s="44"/>
      <c r="X3848" s="44"/>
      <c r="Y3848" s="44"/>
    </row>
    <row r="3849" spans="14:25" ht="15" customHeight="1" x14ac:dyDescent="0.25">
      <c r="N3849" s="44"/>
      <c r="O3849" s="44"/>
      <c r="P3849" s="44"/>
      <c r="Q3849" s="44"/>
      <c r="R3849" s="44"/>
      <c r="S3849" s="44"/>
      <c r="T3849" s="44"/>
      <c r="U3849" s="44"/>
      <c r="V3849" s="44"/>
      <c r="W3849" s="44"/>
      <c r="X3849" s="44"/>
      <c r="Y3849" s="44"/>
    </row>
    <row r="3850" spans="14:25" ht="15" customHeight="1" x14ac:dyDescent="0.25">
      <c r="N3850" s="44"/>
      <c r="O3850" s="44"/>
      <c r="P3850" s="44"/>
      <c r="Q3850" s="44"/>
      <c r="R3850" s="44"/>
      <c r="S3850" s="44"/>
      <c r="T3850" s="44"/>
      <c r="U3850" s="44"/>
      <c r="V3850" s="44"/>
      <c r="W3850" s="44"/>
      <c r="X3850" s="44"/>
      <c r="Y3850" s="44"/>
    </row>
    <row r="3851" spans="14:25" ht="15" customHeight="1" x14ac:dyDescent="0.25">
      <c r="N3851" s="44"/>
      <c r="O3851" s="44"/>
      <c r="P3851" s="44"/>
      <c r="Q3851" s="44"/>
      <c r="R3851" s="44"/>
      <c r="S3851" s="44"/>
      <c r="T3851" s="44"/>
      <c r="U3851" s="44"/>
      <c r="V3851" s="44"/>
      <c r="W3851" s="44"/>
      <c r="X3851" s="44"/>
      <c r="Y3851" s="44"/>
    </row>
    <row r="3852" spans="14:25" ht="15" customHeight="1" x14ac:dyDescent="0.25">
      <c r="N3852" s="44"/>
      <c r="O3852" s="44"/>
      <c r="P3852" s="44"/>
      <c r="Q3852" s="44"/>
      <c r="R3852" s="44"/>
      <c r="S3852" s="44"/>
      <c r="T3852" s="44"/>
      <c r="U3852" s="44"/>
      <c r="V3852" s="44"/>
      <c r="W3852" s="44"/>
      <c r="X3852" s="44"/>
      <c r="Y3852" s="44"/>
    </row>
    <row r="3853" spans="14:25" ht="15" customHeight="1" x14ac:dyDescent="0.25">
      <c r="N3853" s="44"/>
      <c r="O3853" s="44"/>
      <c r="P3853" s="44"/>
      <c r="Q3853" s="44"/>
      <c r="R3853" s="44"/>
      <c r="S3853" s="44"/>
      <c r="T3853" s="44"/>
      <c r="U3853" s="44"/>
      <c r="V3853" s="44"/>
      <c r="W3853" s="44"/>
      <c r="X3853" s="44"/>
      <c r="Y3853" s="44"/>
    </row>
    <row r="3854" spans="14:25" ht="15" customHeight="1" x14ac:dyDescent="0.25">
      <c r="N3854" s="44"/>
      <c r="O3854" s="44"/>
      <c r="P3854" s="44"/>
      <c r="Q3854" s="44"/>
      <c r="R3854" s="44"/>
      <c r="S3854" s="44"/>
      <c r="T3854" s="44"/>
      <c r="U3854" s="44"/>
      <c r="V3854" s="44"/>
      <c r="W3854" s="44"/>
      <c r="X3854" s="44"/>
      <c r="Y3854" s="44"/>
    </row>
    <row r="3855" spans="14:25" ht="15" customHeight="1" x14ac:dyDescent="0.25">
      <c r="N3855" s="44"/>
      <c r="O3855" s="44"/>
      <c r="P3855" s="44"/>
      <c r="Q3855" s="44"/>
      <c r="R3855" s="44"/>
      <c r="S3855" s="44"/>
      <c r="T3855" s="44"/>
      <c r="U3855" s="44"/>
      <c r="V3855" s="44"/>
      <c r="W3855" s="44"/>
      <c r="X3855" s="44"/>
      <c r="Y3855" s="44"/>
    </row>
    <row r="3856" spans="14:25" ht="15" customHeight="1" x14ac:dyDescent="0.25">
      <c r="N3856" s="44"/>
      <c r="O3856" s="44"/>
      <c r="P3856" s="44"/>
      <c r="Q3856" s="44"/>
      <c r="R3856" s="44"/>
      <c r="S3856" s="44"/>
      <c r="T3856" s="44"/>
      <c r="U3856" s="44"/>
      <c r="V3856" s="44"/>
      <c r="W3856" s="44"/>
      <c r="X3856" s="44"/>
      <c r="Y3856" s="44"/>
    </row>
    <row r="3857" spans="14:25" ht="15" customHeight="1" x14ac:dyDescent="0.25">
      <c r="N3857" s="44"/>
      <c r="O3857" s="44"/>
      <c r="P3857" s="44"/>
      <c r="Q3857" s="44"/>
      <c r="R3857" s="44"/>
      <c r="S3857" s="44"/>
      <c r="T3857" s="44"/>
      <c r="U3857" s="44"/>
      <c r="V3857" s="44"/>
      <c r="W3857" s="44"/>
      <c r="X3857" s="44"/>
      <c r="Y3857" s="44"/>
    </row>
    <row r="3858" spans="14:25" ht="15" customHeight="1" x14ac:dyDescent="0.25">
      <c r="N3858" s="44"/>
      <c r="O3858" s="44"/>
      <c r="P3858" s="44"/>
      <c r="Q3858" s="44"/>
      <c r="R3858" s="44"/>
      <c r="S3858" s="44"/>
      <c r="T3858" s="44"/>
      <c r="U3858" s="44"/>
      <c r="V3858" s="44"/>
      <c r="W3858" s="44"/>
      <c r="X3858" s="44"/>
      <c r="Y3858" s="44"/>
    </row>
    <row r="3859" spans="14:25" ht="15" customHeight="1" x14ac:dyDescent="0.25">
      <c r="N3859" s="44"/>
      <c r="O3859" s="44"/>
      <c r="P3859" s="44"/>
      <c r="Q3859" s="44"/>
      <c r="R3859" s="44"/>
      <c r="S3859" s="44"/>
      <c r="T3859" s="44"/>
      <c r="U3859" s="44"/>
      <c r="V3859" s="44"/>
      <c r="W3859" s="44"/>
      <c r="X3859" s="44"/>
      <c r="Y3859" s="44"/>
    </row>
    <row r="3860" spans="14:25" ht="15" customHeight="1" x14ac:dyDescent="0.25">
      <c r="N3860" s="44"/>
      <c r="O3860" s="44"/>
      <c r="P3860" s="44"/>
      <c r="Q3860" s="44"/>
      <c r="R3860" s="44"/>
      <c r="S3860" s="44"/>
      <c r="T3860" s="44"/>
      <c r="U3860" s="44"/>
      <c r="V3860" s="44"/>
      <c r="W3860" s="44"/>
      <c r="X3860" s="44"/>
      <c r="Y3860" s="44"/>
    </row>
    <row r="3861" spans="14:25" ht="15" customHeight="1" x14ac:dyDescent="0.25">
      <c r="N3861" s="44"/>
      <c r="O3861" s="44"/>
      <c r="P3861" s="44"/>
      <c r="Q3861" s="44"/>
      <c r="R3861" s="44"/>
      <c r="S3861" s="44"/>
      <c r="T3861" s="44"/>
      <c r="U3861" s="44"/>
      <c r="V3861" s="44"/>
      <c r="W3861" s="44"/>
      <c r="X3861" s="44"/>
      <c r="Y3861" s="44"/>
    </row>
    <row r="3862" spans="14:25" ht="15" customHeight="1" x14ac:dyDescent="0.25">
      <c r="N3862" s="44"/>
      <c r="O3862" s="44"/>
      <c r="P3862" s="44"/>
      <c r="Q3862" s="44"/>
      <c r="R3862" s="44"/>
      <c r="S3862" s="44"/>
      <c r="T3862" s="44"/>
      <c r="U3862" s="44"/>
      <c r="V3862" s="44"/>
      <c r="W3862" s="44"/>
      <c r="X3862" s="44"/>
      <c r="Y3862" s="44"/>
    </row>
    <row r="3863" spans="14:25" ht="15" customHeight="1" x14ac:dyDescent="0.25">
      <c r="N3863" s="44"/>
      <c r="O3863" s="44"/>
      <c r="P3863" s="44"/>
      <c r="Q3863" s="44"/>
      <c r="R3863" s="44"/>
      <c r="S3863" s="44"/>
      <c r="T3863" s="44"/>
      <c r="U3863" s="44"/>
      <c r="V3863" s="44"/>
      <c r="W3863" s="44"/>
      <c r="X3863" s="44"/>
      <c r="Y3863" s="44"/>
    </row>
    <row r="3864" spans="14:25" ht="15" customHeight="1" x14ac:dyDescent="0.25">
      <c r="N3864" s="44"/>
      <c r="O3864" s="44"/>
      <c r="P3864" s="44"/>
      <c r="Q3864" s="44"/>
      <c r="R3864" s="44"/>
      <c r="S3864" s="44"/>
      <c r="T3864" s="44"/>
      <c r="U3864" s="44"/>
      <c r="V3864" s="44"/>
      <c r="W3864" s="44"/>
      <c r="X3864" s="44"/>
      <c r="Y3864" s="44"/>
    </row>
    <row r="3865" spans="14:25" ht="15" customHeight="1" x14ac:dyDescent="0.25">
      <c r="N3865" s="44"/>
      <c r="O3865" s="44"/>
      <c r="P3865" s="44"/>
      <c r="Q3865" s="44"/>
      <c r="R3865" s="44"/>
      <c r="S3865" s="44"/>
      <c r="T3865" s="44"/>
      <c r="U3865" s="44"/>
      <c r="V3865" s="44"/>
      <c r="W3865" s="44"/>
      <c r="X3865" s="44"/>
      <c r="Y3865" s="44"/>
    </row>
    <row r="3866" spans="14:25" ht="15" customHeight="1" x14ac:dyDescent="0.25">
      <c r="N3866" s="44"/>
      <c r="O3866" s="44"/>
      <c r="P3866" s="44"/>
      <c r="Q3866" s="44"/>
      <c r="R3866" s="44"/>
      <c r="S3866" s="44"/>
      <c r="T3866" s="44"/>
      <c r="U3866" s="44"/>
      <c r="V3866" s="44"/>
      <c r="W3866" s="44"/>
      <c r="X3866" s="44"/>
      <c r="Y3866" s="44"/>
    </row>
    <row r="3867" spans="14:25" ht="15" customHeight="1" x14ac:dyDescent="0.25">
      <c r="N3867" s="44"/>
      <c r="O3867" s="44"/>
      <c r="P3867" s="44"/>
      <c r="Q3867" s="44"/>
      <c r="R3867" s="44"/>
      <c r="S3867" s="44"/>
      <c r="T3867" s="44"/>
      <c r="U3867" s="44"/>
      <c r="V3867" s="44"/>
      <c r="W3867" s="44"/>
      <c r="X3867" s="44"/>
      <c r="Y3867" s="44"/>
    </row>
    <row r="3868" spans="14:25" ht="15" customHeight="1" x14ac:dyDescent="0.25">
      <c r="N3868" s="44"/>
      <c r="O3868" s="44"/>
      <c r="P3868" s="44"/>
      <c r="Q3868" s="44"/>
      <c r="R3868" s="44"/>
      <c r="S3868" s="44"/>
      <c r="T3868" s="44"/>
      <c r="U3868" s="44"/>
      <c r="V3868" s="44"/>
      <c r="W3868" s="44"/>
      <c r="X3868" s="44"/>
      <c r="Y3868" s="44"/>
    </row>
    <row r="3869" spans="14:25" ht="15" customHeight="1" x14ac:dyDescent="0.25">
      <c r="N3869" s="44"/>
      <c r="O3869" s="44"/>
      <c r="P3869" s="44"/>
      <c r="Q3869" s="44"/>
      <c r="R3869" s="44"/>
      <c r="S3869" s="44"/>
      <c r="T3869" s="44"/>
      <c r="U3869" s="44"/>
      <c r="V3869" s="44"/>
      <c r="W3869" s="44"/>
      <c r="X3869" s="44"/>
      <c r="Y3869" s="44"/>
    </row>
    <row r="3870" spans="14:25" ht="15" customHeight="1" x14ac:dyDescent="0.25">
      <c r="N3870" s="44"/>
      <c r="O3870" s="44"/>
      <c r="P3870" s="44"/>
      <c r="Q3870" s="44"/>
      <c r="R3870" s="44"/>
      <c r="S3870" s="44"/>
      <c r="T3870" s="44"/>
      <c r="U3870" s="44"/>
      <c r="V3870" s="44"/>
      <c r="W3870" s="44"/>
      <c r="X3870" s="44"/>
      <c r="Y3870" s="44"/>
    </row>
    <row r="3871" spans="14:25" ht="15" customHeight="1" x14ac:dyDescent="0.25">
      <c r="N3871" s="44"/>
      <c r="O3871" s="44"/>
      <c r="P3871" s="44"/>
      <c r="Q3871" s="44"/>
      <c r="R3871" s="44"/>
      <c r="S3871" s="44"/>
      <c r="T3871" s="44"/>
      <c r="U3871" s="44"/>
      <c r="V3871" s="44"/>
      <c r="W3871" s="44"/>
      <c r="X3871" s="44"/>
      <c r="Y3871" s="44"/>
    </row>
    <row r="3872" spans="14:25" ht="15" customHeight="1" x14ac:dyDescent="0.25">
      <c r="N3872" s="44"/>
      <c r="O3872" s="44"/>
      <c r="P3872" s="44"/>
      <c r="Q3872" s="44"/>
      <c r="R3872" s="44"/>
      <c r="S3872" s="44"/>
      <c r="T3872" s="44"/>
      <c r="U3872" s="44"/>
      <c r="V3872" s="44"/>
      <c r="W3872" s="44"/>
      <c r="X3872" s="44"/>
      <c r="Y3872" s="44"/>
    </row>
    <row r="3873" spans="14:25" ht="15" customHeight="1" x14ac:dyDescent="0.25">
      <c r="N3873" s="44"/>
      <c r="O3873" s="44"/>
      <c r="P3873" s="44"/>
      <c r="Q3873" s="44"/>
      <c r="R3873" s="44"/>
      <c r="S3873" s="44"/>
      <c r="T3873" s="44"/>
      <c r="U3873" s="44"/>
      <c r="V3873" s="44"/>
      <c r="W3873" s="44"/>
      <c r="X3873" s="44"/>
      <c r="Y3873" s="44"/>
    </row>
    <row r="3874" spans="14:25" ht="15" customHeight="1" x14ac:dyDescent="0.25">
      <c r="N3874" s="44"/>
      <c r="O3874" s="44"/>
      <c r="P3874" s="44"/>
      <c r="Q3874" s="44"/>
      <c r="R3874" s="44"/>
      <c r="S3874" s="44"/>
      <c r="T3874" s="44"/>
      <c r="U3874" s="44"/>
      <c r="V3874" s="44"/>
      <c r="W3874" s="44"/>
      <c r="X3874" s="44"/>
      <c r="Y3874" s="44"/>
    </row>
    <row r="3875" spans="14:25" ht="15" customHeight="1" x14ac:dyDescent="0.25">
      <c r="N3875" s="44"/>
      <c r="O3875" s="44"/>
      <c r="P3875" s="44"/>
      <c r="Q3875" s="44"/>
      <c r="R3875" s="44"/>
      <c r="S3875" s="44"/>
      <c r="T3875" s="44"/>
      <c r="U3875" s="44"/>
      <c r="V3875" s="44"/>
      <c r="W3875" s="44"/>
      <c r="X3875" s="44"/>
      <c r="Y3875" s="44"/>
    </row>
    <row r="3876" spans="14:25" ht="15" customHeight="1" x14ac:dyDescent="0.25">
      <c r="N3876" s="44"/>
      <c r="O3876" s="44"/>
      <c r="P3876" s="44"/>
      <c r="Q3876" s="44"/>
      <c r="R3876" s="44"/>
      <c r="S3876" s="44"/>
      <c r="T3876" s="44"/>
      <c r="U3876" s="44"/>
      <c r="V3876" s="44"/>
      <c r="W3876" s="44"/>
      <c r="X3876" s="44"/>
      <c r="Y3876" s="44"/>
    </row>
    <row r="3877" spans="14:25" ht="15" customHeight="1" x14ac:dyDescent="0.25">
      <c r="N3877" s="44"/>
      <c r="O3877" s="44"/>
      <c r="P3877" s="44"/>
      <c r="Q3877" s="44"/>
      <c r="R3877" s="44"/>
      <c r="S3877" s="44"/>
      <c r="T3877" s="44"/>
      <c r="U3877" s="44"/>
      <c r="V3877" s="44"/>
      <c r="W3877" s="44"/>
      <c r="X3877" s="44"/>
      <c r="Y3877" s="44"/>
    </row>
    <row r="3878" spans="14:25" ht="15" customHeight="1" x14ac:dyDescent="0.25">
      <c r="N3878" s="44"/>
      <c r="O3878" s="44"/>
      <c r="P3878" s="44"/>
      <c r="Q3878" s="44"/>
      <c r="R3878" s="44"/>
      <c r="S3878" s="44"/>
      <c r="T3878" s="44"/>
      <c r="U3878" s="44"/>
      <c r="V3878" s="44"/>
      <c r="W3878" s="44"/>
      <c r="X3878" s="44"/>
      <c r="Y3878" s="44"/>
    </row>
    <row r="3879" spans="14:25" ht="15" customHeight="1" x14ac:dyDescent="0.25">
      <c r="N3879" s="44"/>
      <c r="O3879" s="44"/>
      <c r="P3879" s="44"/>
      <c r="Q3879" s="44"/>
      <c r="R3879" s="44"/>
      <c r="S3879" s="44"/>
      <c r="T3879" s="44"/>
      <c r="U3879" s="44"/>
      <c r="V3879" s="44"/>
      <c r="W3879" s="44"/>
      <c r="X3879" s="44"/>
      <c r="Y3879" s="44"/>
    </row>
    <row r="3880" spans="14:25" ht="15" customHeight="1" x14ac:dyDescent="0.25">
      <c r="N3880" s="44"/>
      <c r="O3880" s="44"/>
      <c r="P3880" s="44"/>
      <c r="Q3880" s="44"/>
      <c r="R3880" s="44"/>
      <c r="S3880" s="44"/>
      <c r="T3880" s="44"/>
      <c r="U3880" s="44"/>
      <c r="V3880" s="44"/>
      <c r="W3880" s="44"/>
      <c r="X3880" s="44"/>
      <c r="Y3880" s="44"/>
    </row>
    <row r="3881" spans="14:25" ht="15" customHeight="1" x14ac:dyDescent="0.25">
      <c r="N3881" s="44"/>
      <c r="O3881" s="44"/>
      <c r="P3881" s="44"/>
      <c r="Q3881" s="44"/>
      <c r="R3881" s="44"/>
      <c r="S3881" s="44"/>
      <c r="T3881" s="44"/>
      <c r="U3881" s="44"/>
      <c r="V3881" s="44"/>
      <c r="W3881" s="44"/>
      <c r="X3881" s="44"/>
      <c r="Y3881" s="44"/>
    </row>
    <row r="3882" spans="14:25" ht="15" customHeight="1" x14ac:dyDescent="0.25">
      <c r="N3882" s="44"/>
      <c r="O3882" s="44"/>
      <c r="P3882" s="44"/>
      <c r="Q3882" s="44"/>
      <c r="R3882" s="44"/>
      <c r="S3882" s="44"/>
      <c r="T3882" s="44"/>
      <c r="U3882" s="44"/>
      <c r="V3882" s="44"/>
      <c r="W3882" s="44"/>
      <c r="X3882" s="44"/>
      <c r="Y3882" s="44"/>
    </row>
    <row r="3883" spans="14:25" ht="15" customHeight="1" x14ac:dyDescent="0.25">
      <c r="N3883" s="44"/>
      <c r="O3883" s="44"/>
      <c r="P3883" s="44"/>
      <c r="Q3883" s="44"/>
      <c r="R3883" s="44"/>
      <c r="S3883" s="44"/>
      <c r="T3883" s="44"/>
      <c r="U3883" s="44"/>
      <c r="V3883" s="44"/>
      <c r="W3883" s="44"/>
      <c r="X3883" s="44"/>
      <c r="Y3883" s="44"/>
    </row>
    <row r="3884" spans="14:25" ht="15" customHeight="1" x14ac:dyDescent="0.25">
      <c r="N3884" s="44"/>
      <c r="O3884" s="44"/>
      <c r="P3884" s="44"/>
      <c r="Q3884" s="44"/>
      <c r="R3884" s="44"/>
      <c r="S3884" s="44"/>
      <c r="T3884" s="44"/>
      <c r="U3884" s="44"/>
      <c r="V3884" s="44"/>
      <c r="W3884" s="44"/>
      <c r="X3884" s="44"/>
      <c r="Y3884" s="44"/>
    </row>
    <row r="3885" spans="14:25" ht="15" customHeight="1" x14ac:dyDescent="0.25">
      <c r="N3885" s="44"/>
      <c r="O3885" s="44"/>
      <c r="P3885" s="44"/>
      <c r="Q3885" s="44"/>
      <c r="R3885" s="44"/>
      <c r="S3885" s="44"/>
      <c r="T3885" s="44"/>
      <c r="U3885" s="44"/>
      <c r="V3885" s="44"/>
      <c r="W3885" s="44"/>
      <c r="X3885" s="44"/>
      <c r="Y3885" s="44"/>
    </row>
    <row r="3886" spans="14:25" ht="15" customHeight="1" x14ac:dyDescent="0.25">
      <c r="N3886" s="44"/>
      <c r="O3886" s="44"/>
      <c r="P3886" s="44"/>
      <c r="Q3886" s="44"/>
      <c r="R3886" s="44"/>
      <c r="S3886" s="44"/>
      <c r="T3886" s="44"/>
      <c r="U3886" s="44"/>
      <c r="V3886" s="44"/>
      <c r="W3886" s="44"/>
      <c r="X3886" s="44"/>
      <c r="Y3886" s="44"/>
    </row>
    <row r="3887" spans="14:25" ht="15" customHeight="1" x14ac:dyDescent="0.25">
      <c r="N3887" s="44"/>
      <c r="O3887" s="44"/>
      <c r="P3887" s="44"/>
      <c r="Q3887" s="44"/>
      <c r="R3887" s="44"/>
      <c r="S3887" s="44"/>
      <c r="T3887" s="44"/>
      <c r="U3887" s="44"/>
      <c r="V3887" s="44"/>
      <c r="W3887" s="44"/>
      <c r="X3887" s="44"/>
      <c r="Y3887" s="44"/>
    </row>
    <row r="3888" spans="14:25" ht="15" customHeight="1" x14ac:dyDescent="0.25">
      <c r="N3888" s="44"/>
      <c r="O3888" s="44"/>
      <c r="P3888" s="44"/>
      <c r="Q3888" s="44"/>
      <c r="R3888" s="44"/>
      <c r="S3888" s="44"/>
      <c r="T3888" s="44"/>
      <c r="U3888" s="44"/>
      <c r="V3888" s="44"/>
      <c r="W3888" s="44"/>
      <c r="X3888" s="44"/>
      <c r="Y3888" s="44"/>
    </row>
    <row r="3889" spans="14:25" ht="15" customHeight="1" x14ac:dyDescent="0.25">
      <c r="N3889" s="44"/>
      <c r="O3889" s="44"/>
      <c r="P3889" s="44"/>
      <c r="Q3889" s="44"/>
      <c r="R3889" s="44"/>
      <c r="S3889" s="44"/>
      <c r="T3889" s="44"/>
      <c r="U3889" s="44"/>
      <c r="V3889" s="44"/>
      <c r="W3889" s="44"/>
      <c r="X3889" s="44"/>
      <c r="Y3889" s="44"/>
    </row>
    <row r="3890" spans="14:25" ht="15" customHeight="1" x14ac:dyDescent="0.25">
      <c r="N3890" s="44"/>
      <c r="O3890" s="44"/>
      <c r="P3890" s="44"/>
      <c r="Q3890" s="44"/>
      <c r="R3890" s="44"/>
      <c r="S3890" s="44"/>
      <c r="T3890" s="44"/>
      <c r="U3890" s="44"/>
      <c r="V3890" s="44"/>
      <c r="W3890" s="44"/>
      <c r="X3890" s="44"/>
      <c r="Y3890" s="44"/>
    </row>
    <row r="3891" spans="14:25" ht="15" customHeight="1" x14ac:dyDescent="0.25">
      <c r="N3891" s="44"/>
      <c r="O3891" s="44"/>
      <c r="P3891" s="44"/>
      <c r="Q3891" s="44"/>
      <c r="R3891" s="44"/>
      <c r="S3891" s="44"/>
      <c r="T3891" s="44"/>
      <c r="U3891" s="44"/>
      <c r="V3891" s="44"/>
      <c r="W3891" s="44"/>
      <c r="X3891" s="44"/>
      <c r="Y3891" s="44"/>
    </row>
    <row r="3892" spans="14:25" ht="15" customHeight="1" x14ac:dyDescent="0.25">
      <c r="N3892" s="44"/>
      <c r="O3892" s="44"/>
      <c r="P3892" s="44"/>
      <c r="Q3892" s="44"/>
      <c r="R3892" s="44"/>
      <c r="S3892" s="44"/>
      <c r="T3892" s="44"/>
      <c r="U3892" s="44"/>
      <c r="V3892" s="44"/>
      <c r="W3892" s="44"/>
      <c r="X3892" s="44"/>
      <c r="Y3892" s="44"/>
    </row>
    <row r="3893" spans="14:25" ht="15" customHeight="1" x14ac:dyDescent="0.25">
      <c r="N3893" s="44"/>
      <c r="O3893" s="44"/>
      <c r="P3893" s="44"/>
      <c r="Q3893" s="44"/>
      <c r="R3893" s="44"/>
      <c r="S3893" s="44"/>
      <c r="T3893" s="44"/>
      <c r="U3893" s="44"/>
      <c r="V3893" s="44"/>
      <c r="W3893" s="44"/>
      <c r="X3893" s="44"/>
      <c r="Y3893" s="44"/>
    </row>
    <row r="3894" spans="14:25" ht="15" customHeight="1" x14ac:dyDescent="0.25">
      <c r="N3894" s="44"/>
      <c r="O3894" s="44"/>
      <c r="P3894" s="44"/>
      <c r="Q3894" s="44"/>
      <c r="R3894" s="44"/>
      <c r="S3894" s="44"/>
      <c r="T3894" s="44"/>
      <c r="U3894" s="44"/>
      <c r="V3894" s="44"/>
      <c r="W3894" s="44"/>
      <c r="X3894" s="44"/>
      <c r="Y3894" s="44"/>
    </row>
    <row r="3895" spans="14:25" ht="15" customHeight="1" x14ac:dyDescent="0.25">
      <c r="N3895" s="44"/>
      <c r="O3895" s="44"/>
      <c r="P3895" s="44"/>
      <c r="Q3895" s="44"/>
      <c r="R3895" s="44"/>
      <c r="S3895" s="44"/>
      <c r="T3895" s="44"/>
      <c r="U3895" s="44"/>
      <c r="V3895" s="44"/>
      <c r="W3895" s="44"/>
      <c r="X3895" s="44"/>
      <c r="Y3895" s="44"/>
    </row>
    <row r="3896" spans="14:25" ht="15" customHeight="1" x14ac:dyDescent="0.25">
      <c r="N3896" s="44"/>
      <c r="O3896" s="44"/>
      <c r="P3896" s="44"/>
      <c r="Q3896" s="44"/>
      <c r="R3896" s="44"/>
      <c r="S3896" s="44"/>
      <c r="T3896" s="44"/>
      <c r="U3896" s="44"/>
      <c r="V3896" s="44"/>
      <c r="W3896" s="44"/>
      <c r="X3896" s="44"/>
      <c r="Y3896" s="44"/>
    </row>
    <row r="3897" spans="14:25" ht="15" customHeight="1" x14ac:dyDescent="0.25">
      <c r="N3897" s="44"/>
      <c r="O3897" s="44"/>
      <c r="P3897" s="44"/>
      <c r="Q3897" s="44"/>
      <c r="R3897" s="44"/>
      <c r="S3897" s="44"/>
      <c r="T3897" s="44"/>
      <c r="U3897" s="44"/>
      <c r="V3897" s="44"/>
      <c r="W3897" s="44"/>
      <c r="X3897" s="44"/>
      <c r="Y3897" s="44"/>
    </row>
    <row r="3898" spans="14:25" ht="15" customHeight="1" x14ac:dyDescent="0.25">
      <c r="N3898" s="44"/>
      <c r="O3898" s="44"/>
      <c r="P3898" s="44"/>
      <c r="Q3898" s="44"/>
      <c r="R3898" s="44"/>
      <c r="S3898" s="44"/>
      <c r="T3898" s="44"/>
      <c r="U3898" s="44"/>
      <c r="V3898" s="44"/>
      <c r="W3898" s="44"/>
      <c r="X3898" s="44"/>
      <c r="Y3898" s="44"/>
    </row>
    <row r="3899" spans="14:25" ht="15" customHeight="1" x14ac:dyDescent="0.25">
      <c r="N3899" s="44"/>
      <c r="O3899" s="44"/>
      <c r="P3899" s="44"/>
      <c r="Q3899" s="44"/>
      <c r="R3899" s="44"/>
      <c r="S3899" s="44"/>
      <c r="T3899" s="44"/>
      <c r="U3899" s="44"/>
      <c r="V3899" s="44"/>
      <c r="W3899" s="44"/>
      <c r="X3899" s="44"/>
      <c r="Y3899" s="44"/>
    </row>
    <row r="3900" spans="14:25" ht="15" customHeight="1" x14ac:dyDescent="0.25">
      <c r="N3900" s="44"/>
      <c r="O3900" s="44"/>
      <c r="P3900" s="44"/>
      <c r="Q3900" s="44"/>
      <c r="R3900" s="44"/>
      <c r="S3900" s="44"/>
      <c r="T3900" s="44"/>
      <c r="U3900" s="44"/>
      <c r="V3900" s="44"/>
      <c r="W3900" s="44"/>
      <c r="X3900" s="44"/>
      <c r="Y3900" s="44"/>
    </row>
    <row r="3901" spans="14:25" ht="15" customHeight="1" x14ac:dyDescent="0.25">
      <c r="N3901" s="44"/>
      <c r="O3901" s="44"/>
      <c r="P3901" s="44"/>
      <c r="Q3901" s="44"/>
      <c r="R3901" s="44"/>
      <c r="S3901" s="44"/>
      <c r="T3901" s="44"/>
      <c r="U3901" s="44"/>
      <c r="V3901" s="44"/>
      <c r="W3901" s="44"/>
      <c r="X3901" s="44"/>
      <c r="Y3901" s="44"/>
    </row>
    <row r="3902" spans="14:25" ht="15" customHeight="1" x14ac:dyDescent="0.25">
      <c r="N3902" s="44"/>
      <c r="O3902" s="44"/>
      <c r="P3902" s="44"/>
      <c r="Q3902" s="44"/>
      <c r="R3902" s="44"/>
      <c r="S3902" s="44"/>
      <c r="T3902" s="44"/>
      <c r="U3902" s="44"/>
      <c r="V3902" s="44"/>
      <c r="W3902" s="44"/>
      <c r="X3902" s="44"/>
      <c r="Y3902" s="44"/>
    </row>
    <row r="3903" spans="14:25" ht="15" customHeight="1" x14ac:dyDescent="0.25">
      <c r="N3903" s="44"/>
      <c r="O3903" s="44"/>
      <c r="P3903" s="44"/>
      <c r="Q3903" s="44"/>
      <c r="R3903" s="44"/>
      <c r="S3903" s="44"/>
      <c r="T3903" s="44"/>
      <c r="U3903" s="44"/>
      <c r="V3903" s="44"/>
      <c r="W3903" s="44"/>
      <c r="X3903" s="44"/>
      <c r="Y3903" s="44"/>
    </row>
    <row r="3904" spans="14:25" ht="15" customHeight="1" x14ac:dyDescent="0.25">
      <c r="N3904" s="44"/>
      <c r="O3904" s="44"/>
      <c r="P3904" s="44"/>
      <c r="Q3904" s="44"/>
      <c r="R3904" s="44"/>
      <c r="S3904" s="44"/>
      <c r="T3904" s="44"/>
      <c r="U3904" s="44"/>
      <c r="V3904" s="44"/>
      <c r="W3904" s="44"/>
      <c r="X3904" s="44"/>
      <c r="Y3904" s="44"/>
    </row>
    <row r="3905" spans="14:25" ht="15" customHeight="1" x14ac:dyDescent="0.25">
      <c r="N3905" s="44"/>
      <c r="O3905" s="44"/>
      <c r="P3905" s="44"/>
      <c r="Q3905" s="44"/>
      <c r="R3905" s="44"/>
      <c r="S3905" s="44"/>
      <c r="T3905" s="44"/>
      <c r="U3905" s="44"/>
      <c r="V3905" s="44"/>
      <c r="W3905" s="44"/>
      <c r="X3905" s="44"/>
      <c r="Y3905" s="44"/>
    </row>
    <row r="3906" spans="14:25" ht="15" customHeight="1" x14ac:dyDescent="0.25">
      <c r="N3906" s="44"/>
      <c r="O3906" s="44"/>
      <c r="P3906" s="44"/>
      <c r="Q3906" s="44"/>
      <c r="R3906" s="44"/>
      <c r="S3906" s="44"/>
      <c r="T3906" s="44"/>
      <c r="U3906" s="44"/>
      <c r="V3906" s="44"/>
      <c r="W3906" s="44"/>
      <c r="X3906" s="44"/>
      <c r="Y3906" s="44"/>
    </row>
    <row r="3907" spans="14:25" ht="15" customHeight="1" x14ac:dyDescent="0.25">
      <c r="N3907" s="44"/>
      <c r="O3907" s="44"/>
      <c r="P3907" s="44"/>
      <c r="Q3907" s="44"/>
      <c r="R3907" s="44"/>
      <c r="S3907" s="44"/>
      <c r="T3907" s="44"/>
      <c r="U3907" s="44"/>
      <c r="V3907" s="44"/>
      <c r="W3907" s="44"/>
      <c r="X3907" s="44"/>
      <c r="Y3907" s="44"/>
    </row>
    <row r="3908" spans="14:25" ht="15" customHeight="1" x14ac:dyDescent="0.25">
      <c r="N3908" s="44"/>
      <c r="O3908" s="44"/>
      <c r="P3908" s="44"/>
      <c r="Q3908" s="44"/>
      <c r="R3908" s="44"/>
      <c r="S3908" s="44"/>
      <c r="T3908" s="44"/>
      <c r="U3908" s="44"/>
      <c r="V3908" s="44"/>
      <c r="W3908" s="44"/>
      <c r="X3908" s="44"/>
      <c r="Y3908" s="44"/>
    </row>
    <row r="3909" spans="14:25" ht="15" customHeight="1" x14ac:dyDescent="0.25">
      <c r="N3909" s="44"/>
      <c r="O3909" s="44"/>
      <c r="P3909" s="44"/>
      <c r="Q3909" s="44"/>
      <c r="R3909" s="44"/>
      <c r="S3909" s="44"/>
      <c r="T3909" s="44"/>
      <c r="U3909" s="44"/>
      <c r="V3909" s="44"/>
      <c r="W3909" s="44"/>
      <c r="X3909" s="44"/>
      <c r="Y3909" s="44"/>
    </row>
    <row r="3910" spans="14:25" ht="15" customHeight="1" x14ac:dyDescent="0.25">
      <c r="N3910" s="44"/>
      <c r="O3910" s="44"/>
      <c r="P3910" s="44"/>
      <c r="Q3910" s="44"/>
      <c r="R3910" s="44"/>
      <c r="S3910" s="44"/>
      <c r="T3910" s="44"/>
      <c r="U3910" s="44"/>
      <c r="V3910" s="44"/>
      <c r="W3910" s="44"/>
      <c r="X3910" s="44"/>
      <c r="Y3910" s="44"/>
    </row>
    <row r="3911" spans="14:25" ht="15" customHeight="1" x14ac:dyDescent="0.25">
      <c r="N3911" s="44"/>
      <c r="O3911" s="44"/>
      <c r="P3911" s="44"/>
      <c r="Q3911" s="44"/>
      <c r="R3911" s="44"/>
      <c r="S3911" s="44"/>
      <c r="T3911" s="44"/>
      <c r="U3911" s="44"/>
      <c r="V3911" s="44"/>
      <c r="W3911" s="44"/>
      <c r="X3911" s="44"/>
      <c r="Y3911" s="44"/>
    </row>
    <row r="3912" spans="14:25" ht="15" customHeight="1" x14ac:dyDescent="0.25">
      <c r="N3912" s="44"/>
      <c r="O3912" s="44"/>
      <c r="P3912" s="44"/>
      <c r="Q3912" s="44"/>
      <c r="R3912" s="44"/>
      <c r="S3912" s="44"/>
      <c r="T3912" s="44"/>
      <c r="U3912" s="44"/>
      <c r="V3912" s="44"/>
      <c r="W3912" s="44"/>
      <c r="X3912" s="44"/>
      <c r="Y3912" s="44"/>
    </row>
    <row r="3913" spans="14:25" ht="15" customHeight="1" x14ac:dyDescent="0.25">
      <c r="N3913" s="44"/>
      <c r="O3913" s="44"/>
      <c r="P3913" s="44"/>
      <c r="Q3913" s="44"/>
      <c r="R3913" s="44"/>
      <c r="S3913" s="44"/>
      <c r="T3913" s="44"/>
      <c r="U3913" s="44"/>
      <c r="V3913" s="44"/>
      <c r="W3913" s="44"/>
      <c r="X3913" s="44"/>
      <c r="Y3913" s="44"/>
    </row>
    <row r="3914" spans="14:25" ht="15" customHeight="1" x14ac:dyDescent="0.25">
      <c r="N3914" s="44"/>
      <c r="O3914" s="44"/>
      <c r="P3914" s="44"/>
      <c r="Q3914" s="44"/>
      <c r="R3914" s="44"/>
      <c r="S3914" s="44"/>
      <c r="T3914" s="44"/>
      <c r="U3914" s="44"/>
      <c r="V3914" s="44"/>
      <c r="W3914" s="44"/>
      <c r="X3914" s="44"/>
      <c r="Y3914" s="44"/>
    </row>
    <row r="3915" spans="14:25" ht="15" customHeight="1" x14ac:dyDescent="0.25">
      <c r="N3915" s="44"/>
      <c r="O3915" s="44"/>
      <c r="P3915" s="44"/>
      <c r="Q3915" s="44"/>
      <c r="R3915" s="44"/>
      <c r="S3915" s="44"/>
      <c r="T3915" s="44"/>
      <c r="U3915" s="44"/>
      <c r="V3915" s="44"/>
      <c r="W3915" s="44"/>
      <c r="X3915" s="44"/>
      <c r="Y3915" s="44"/>
    </row>
    <row r="3916" spans="14:25" ht="15" customHeight="1" x14ac:dyDescent="0.25">
      <c r="N3916" s="44"/>
      <c r="O3916" s="44"/>
      <c r="P3916" s="44"/>
      <c r="Q3916" s="44"/>
      <c r="R3916" s="44"/>
      <c r="S3916" s="44"/>
      <c r="T3916" s="44"/>
      <c r="U3916" s="44"/>
      <c r="V3916" s="44"/>
      <c r="W3916" s="44"/>
      <c r="X3916" s="44"/>
      <c r="Y3916" s="44"/>
    </row>
    <row r="3917" spans="14:25" ht="15" customHeight="1" x14ac:dyDescent="0.25">
      <c r="N3917" s="44"/>
      <c r="O3917" s="44"/>
      <c r="P3917" s="44"/>
      <c r="Q3917" s="44"/>
      <c r="R3917" s="44"/>
      <c r="S3917" s="44"/>
      <c r="T3917" s="44"/>
      <c r="U3917" s="44"/>
      <c r="V3917" s="44"/>
      <c r="W3917" s="44"/>
      <c r="X3917" s="44"/>
      <c r="Y3917" s="44"/>
    </row>
    <row r="3918" spans="14:25" ht="15" customHeight="1" x14ac:dyDescent="0.25">
      <c r="N3918" s="44"/>
      <c r="O3918" s="44"/>
      <c r="P3918" s="44"/>
      <c r="Q3918" s="44"/>
      <c r="R3918" s="44"/>
      <c r="S3918" s="44"/>
      <c r="T3918" s="44"/>
      <c r="U3918" s="44"/>
      <c r="V3918" s="44"/>
      <c r="W3918" s="44"/>
      <c r="X3918" s="44"/>
      <c r="Y3918" s="44"/>
    </row>
    <row r="3919" spans="14:25" ht="15" customHeight="1" x14ac:dyDescent="0.25">
      <c r="N3919" s="44"/>
      <c r="O3919" s="44"/>
      <c r="P3919" s="44"/>
      <c r="Q3919" s="44"/>
      <c r="R3919" s="44"/>
      <c r="S3919" s="44"/>
      <c r="T3919" s="44"/>
      <c r="U3919" s="44"/>
      <c r="V3919" s="44"/>
      <c r="W3919" s="44"/>
      <c r="X3919" s="44"/>
      <c r="Y3919" s="44"/>
    </row>
    <row r="3920" spans="14:25" ht="15" customHeight="1" x14ac:dyDescent="0.25">
      <c r="N3920" s="44"/>
      <c r="O3920" s="44"/>
      <c r="P3920" s="44"/>
      <c r="Q3920" s="44"/>
      <c r="R3920" s="44"/>
      <c r="S3920" s="44"/>
      <c r="T3920" s="44"/>
      <c r="U3920" s="44"/>
      <c r="V3920" s="44"/>
      <c r="W3920" s="44"/>
      <c r="X3920" s="44"/>
      <c r="Y3920" s="44"/>
    </row>
    <row r="3921" spans="14:25" ht="15" customHeight="1" x14ac:dyDescent="0.25">
      <c r="N3921" s="44"/>
      <c r="O3921" s="44"/>
      <c r="P3921" s="44"/>
      <c r="Q3921" s="44"/>
      <c r="R3921" s="44"/>
      <c r="S3921" s="44"/>
      <c r="T3921" s="44"/>
      <c r="U3921" s="44"/>
      <c r="V3921" s="44"/>
      <c r="W3921" s="44"/>
      <c r="X3921" s="44"/>
      <c r="Y3921" s="44"/>
    </row>
    <row r="3922" spans="14:25" ht="15" customHeight="1" x14ac:dyDescent="0.25">
      <c r="N3922" s="44"/>
      <c r="O3922" s="44"/>
      <c r="P3922" s="44"/>
      <c r="Q3922" s="44"/>
      <c r="R3922" s="44"/>
      <c r="S3922" s="44"/>
      <c r="T3922" s="44"/>
      <c r="U3922" s="44"/>
      <c r="V3922" s="44"/>
      <c r="W3922" s="44"/>
      <c r="X3922" s="44"/>
      <c r="Y3922" s="44"/>
    </row>
    <row r="3923" spans="14:25" ht="15" customHeight="1" x14ac:dyDescent="0.25">
      <c r="N3923" s="44"/>
      <c r="O3923" s="44"/>
      <c r="P3923" s="44"/>
      <c r="Q3923" s="44"/>
      <c r="R3923" s="44"/>
      <c r="S3923" s="44"/>
      <c r="T3923" s="44"/>
      <c r="U3923" s="44"/>
      <c r="V3923" s="44"/>
      <c r="W3923" s="44"/>
      <c r="X3923" s="44"/>
      <c r="Y3923" s="44"/>
    </row>
    <row r="3924" spans="14:25" ht="15" customHeight="1" x14ac:dyDescent="0.25">
      <c r="N3924" s="44"/>
      <c r="O3924" s="44"/>
      <c r="P3924" s="44"/>
      <c r="Q3924" s="44"/>
      <c r="R3924" s="44"/>
      <c r="S3924" s="44"/>
      <c r="T3924" s="44"/>
      <c r="U3924" s="44"/>
      <c r="V3924" s="44"/>
      <c r="W3924" s="44"/>
      <c r="X3924" s="44"/>
      <c r="Y3924" s="44"/>
    </row>
    <row r="3925" spans="14:25" ht="15" customHeight="1" x14ac:dyDescent="0.25">
      <c r="N3925" s="44"/>
      <c r="O3925" s="44"/>
      <c r="P3925" s="44"/>
      <c r="Q3925" s="44"/>
      <c r="R3925" s="44"/>
      <c r="S3925" s="44"/>
      <c r="T3925" s="44"/>
      <c r="U3925" s="44"/>
      <c r="V3925" s="44"/>
      <c r="W3925" s="44"/>
      <c r="X3925" s="44"/>
      <c r="Y3925" s="44"/>
    </row>
    <row r="3926" spans="14:25" ht="15" customHeight="1" x14ac:dyDescent="0.25">
      <c r="N3926" s="44"/>
      <c r="O3926" s="44"/>
      <c r="P3926" s="44"/>
      <c r="Q3926" s="44"/>
      <c r="R3926" s="44"/>
      <c r="S3926" s="44"/>
      <c r="T3926" s="44"/>
      <c r="U3926" s="44"/>
      <c r="V3926" s="44"/>
      <c r="W3926" s="44"/>
      <c r="X3926" s="44"/>
      <c r="Y3926" s="44"/>
    </row>
    <row r="3927" spans="14:25" ht="15" customHeight="1" x14ac:dyDescent="0.25">
      <c r="N3927" s="44"/>
      <c r="O3927" s="44"/>
      <c r="P3927" s="44"/>
      <c r="Q3927" s="44"/>
      <c r="R3927" s="44"/>
      <c r="S3927" s="44"/>
      <c r="T3927" s="44"/>
      <c r="U3927" s="44"/>
      <c r="V3927" s="44"/>
      <c r="W3927" s="44"/>
      <c r="X3927" s="44"/>
      <c r="Y3927" s="44"/>
    </row>
    <row r="3928" spans="14:25" ht="15" customHeight="1" x14ac:dyDescent="0.25">
      <c r="N3928" s="44"/>
      <c r="O3928" s="44"/>
      <c r="P3928" s="44"/>
      <c r="Q3928" s="44"/>
      <c r="R3928" s="44"/>
      <c r="S3928" s="44"/>
      <c r="T3928" s="44"/>
      <c r="U3928" s="44"/>
      <c r="V3928" s="44"/>
      <c r="W3928" s="44"/>
      <c r="X3928" s="44"/>
      <c r="Y3928" s="44"/>
    </row>
    <row r="3929" spans="14:25" ht="15" customHeight="1" x14ac:dyDescent="0.25">
      <c r="N3929" s="44"/>
      <c r="O3929" s="44"/>
      <c r="P3929" s="44"/>
      <c r="Q3929" s="44"/>
      <c r="R3929" s="44"/>
      <c r="S3929" s="44"/>
      <c r="T3929" s="44"/>
      <c r="U3929" s="44"/>
      <c r="V3929" s="44"/>
      <c r="W3929" s="44"/>
      <c r="X3929" s="44"/>
      <c r="Y3929" s="44"/>
    </row>
    <row r="3930" spans="14:25" ht="15" customHeight="1" x14ac:dyDescent="0.25">
      <c r="N3930" s="44"/>
      <c r="O3930" s="44"/>
      <c r="P3930" s="44"/>
      <c r="Q3930" s="44"/>
      <c r="R3930" s="44"/>
      <c r="S3930" s="44"/>
      <c r="T3930" s="44"/>
      <c r="U3930" s="44"/>
      <c r="V3930" s="44"/>
      <c r="W3930" s="44"/>
      <c r="X3930" s="44"/>
      <c r="Y3930" s="44"/>
    </row>
    <row r="3931" spans="14:25" ht="15" customHeight="1" x14ac:dyDescent="0.25">
      <c r="N3931" s="44"/>
      <c r="O3931" s="44"/>
      <c r="P3931" s="44"/>
      <c r="Q3931" s="44"/>
      <c r="R3931" s="44"/>
      <c r="S3931" s="44"/>
      <c r="T3931" s="44"/>
      <c r="U3931" s="44"/>
      <c r="V3931" s="44"/>
      <c r="W3931" s="44"/>
      <c r="X3931" s="44"/>
      <c r="Y3931" s="44"/>
    </row>
    <row r="3932" spans="14:25" ht="15" customHeight="1" x14ac:dyDescent="0.25">
      <c r="N3932" s="44"/>
      <c r="O3932" s="44"/>
      <c r="P3932" s="44"/>
      <c r="Q3932" s="44"/>
      <c r="R3932" s="44"/>
      <c r="S3932" s="44"/>
      <c r="T3932" s="44"/>
      <c r="U3932" s="44"/>
      <c r="V3932" s="44"/>
      <c r="W3932" s="44"/>
      <c r="X3932" s="44"/>
      <c r="Y3932" s="44"/>
    </row>
    <row r="3933" spans="14:25" ht="15" customHeight="1" x14ac:dyDescent="0.25">
      <c r="N3933" s="44"/>
      <c r="O3933" s="44"/>
      <c r="P3933" s="44"/>
      <c r="Q3933" s="44"/>
      <c r="R3933" s="44"/>
      <c r="S3933" s="44"/>
      <c r="T3933" s="44"/>
      <c r="U3933" s="44"/>
      <c r="V3933" s="44"/>
      <c r="W3933" s="44"/>
      <c r="X3933" s="44"/>
      <c r="Y3933" s="44"/>
    </row>
    <row r="3934" spans="14:25" ht="15" customHeight="1" x14ac:dyDescent="0.25">
      <c r="N3934" s="44"/>
      <c r="O3934" s="44"/>
      <c r="P3934" s="44"/>
      <c r="Q3934" s="44"/>
      <c r="R3934" s="44"/>
      <c r="S3934" s="44"/>
      <c r="T3934" s="44"/>
      <c r="U3934" s="44"/>
      <c r="V3934" s="44"/>
      <c r="W3934" s="44"/>
      <c r="X3934" s="44"/>
      <c r="Y3934" s="44"/>
    </row>
    <row r="3935" spans="14:25" ht="15" customHeight="1" x14ac:dyDescent="0.25">
      <c r="N3935" s="44"/>
      <c r="O3935" s="44"/>
      <c r="P3935" s="44"/>
      <c r="Q3935" s="44"/>
      <c r="R3935" s="44"/>
      <c r="S3935" s="44"/>
      <c r="T3935" s="44"/>
      <c r="U3935" s="44"/>
      <c r="V3935" s="44"/>
      <c r="W3935" s="44"/>
      <c r="X3935" s="44"/>
      <c r="Y3935" s="44"/>
    </row>
    <row r="3936" spans="14:25" ht="15" customHeight="1" x14ac:dyDescent="0.25">
      <c r="N3936" s="44"/>
      <c r="O3936" s="44"/>
      <c r="P3936" s="44"/>
      <c r="Q3936" s="44"/>
      <c r="R3936" s="44"/>
      <c r="S3936" s="44"/>
      <c r="T3936" s="44"/>
      <c r="U3936" s="44"/>
      <c r="V3936" s="44"/>
      <c r="W3936" s="44"/>
      <c r="X3936" s="44"/>
      <c r="Y3936" s="44"/>
    </row>
    <row r="3937" spans="14:25" ht="15" customHeight="1" x14ac:dyDescent="0.25">
      <c r="N3937" s="44"/>
      <c r="O3937" s="44"/>
      <c r="P3937" s="44"/>
      <c r="Q3937" s="44"/>
      <c r="R3937" s="44"/>
      <c r="S3937" s="44"/>
      <c r="T3937" s="44"/>
      <c r="U3937" s="44"/>
      <c r="V3937" s="44"/>
      <c r="W3937" s="44"/>
      <c r="X3937" s="44"/>
      <c r="Y3937" s="44"/>
    </row>
    <row r="3938" spans="14:25" ht="15" customHeight="1" x14ac:dyDescent="0.25">
      <c r="N3938" s="44"/>
      <c r="O3938" s="44"/>
      <c r="P3938" s="44"/>
      <c r="Q3938" s="44"/>
      <c r="R3938" s="44"/>
      <c r="S3938" s="44"/>
      <c r="T3938" s="44"/>
      <c r="U3938" s="44"/>
      <c r="V3938" s="44"/>
      <c r="W3938" s="44"/>
      <c r="X3938" s="44"/>
      <c r="Y3938" s="44"/>
    </row>
    <row r="3939" spans="14:25" ht="15" customHeight="1" x14ac:dyDescent="0.25">
      <c r="N3939" s="44"/>
      <c r="O3939" s="44"/>
      <c r="P3939" s="44"/>
      <c r="Q3939" s="44"/>
      <c r="R3939" s="44"/>
      <c r="S3939" s="44"/>
      <c r="T3939" s="44"/>
      <c r="U3939" s="44"/>
      <c r="V3939" s="44"/>
      <c r="W3939" s="44"/>
      <c r="X3939" s="44"/>
      <c r="Y3939" s="44"/>
    </row>
    <row r="3940" spans="14:25" ht="15" customHeight="1" x14ac:dyDescent="0.25">
      <c r="N3940" s="44"/>
      <c r="O3940" s="44"/>
      <c r="P3940" s="44"/>
      <c r="Q3940" s="44"/>
      <c r="R3940" s="44"/>
      <c r="S3940" s="44"/>
      <c r="T3940" s="44"/>
      <c r="U3940" s="44"/>
      <c r="V3940" s="44"/>
      <c r="W3940" s="44"/>
      <c r="X3940" s="44"/>
      <c r="Y3940" s="44"/>
    </row>
    <row r="3941" spans="14:25" ht="15" customHeight="1" x14ac:dyDescent="0.25">
      <c r="N3941" s="44"/>
      <c r="O3941" s="44"/>
      <c r="P3941" s="44"/>
      <c r="Q3941" s="44"/>
      <c r="R3941" s="44"/>
      <c r="S3941" s="44"/>
      <c r="T3941" s="44"/>
      <c r="U3941" s="44"/>
      <c r="V3941" s="44"/>
      <c r="W3941" s="44"/>
      <c r="X3941" s="44"/>
      <c r="Y3941" s="44"/>
    </row>
    <row r="3942" spans="14:25" ht="15" customHeight="1" x14ac:dyDescent="0.25">
      <c r="N3942" s="44"/>
      <c r="O3942" s="44"/>
      <c r="P3942" s="44"/>
      <c r="Q3942" s="44"/>
      <c r="R3942" s="44"/>
      <c r="S3942" s="44"/>
      <c r="T3942" s="44"/>
      <c r="U3942" s="44"/>
      <c r="V3942" s="44"/>
      <c r="W3942" s="44"/>
      <c r="X3942" s="44"/>
      <c r="Y3942" s="44"/>
    </row>
    <row r="3943" spans="14:25" ht="15" customHeight="1" x14ac:dyDescent="0.25">
      <c r="N3943" s="44"/>
      <c r="O3943" s="44"/>
      <c r="P3943" s="44"/>
      <c r="Q3943" s="44"/>
      <c r="R3943" s="44"/>
      <c r="S3943" s="44"/>
      <c r="T3943" s="44"/>
      <c r="U3943" s="44"/>
      <c r="V3943" s="44"/>
      <c r="W3943" s="44"/>
      <c r="X3943" s="44"/>
      <c r="Y3943" s="44"/>
    </row>
    <row r="3944" spans="14:25" ht="15" customHeight="1" x14ac:dyDescent="0.25">
      <c r="N3944" s="44"/>
      <c r="O3944" s="44"/>
      <c r="P3944" s="44"/>
      <c r="Q3944" s="44"/>
      <c r="R3944" s="44"/>
      <c r="S3944" s="44"/>
      <c r="T3944" s="44"/>
      <c r="U3944" s="44"/>
      <c r="V3944" s="44"/>
      <c r="W3944" s="44"/>
      <c r="X3944" s="44"/>
      <c r="Y3944" s="44"/>
    </row>
    <row r="3945" spans="14:25" ht="15" customHeight="1" x14ac:dyDescent="0.25">
      <c r="N3945" s="44"/>
      <c r="O3945" s="44"/>
      <c r="P3945" s="44"/>
      <c r="Q3945" s="44"/>
      <c r="R3945" s="44"/>
      <c r="S3945" s="44"/>
      <c r="T3945" s="44"/>
      <c r="U3945" s="44"/>
      <c r="V3945" s="44"/>
      <c r="W3945" s="44"/>
      <c r="X3945" s="44"/>
      <c r="Y3945" s="44"/>
    </row>
    <row r="3946" spans="14:25" ht="15" customHeight="1" x14ac:dyDescent="0.25">
      <c r="N3946" s="44"/>
      <c r="O3946" s="44"/>
      <c r="P3946" s="44"/>
      <c r="Q3946" s="44"/>
      <c r="R3946" s="44"/>
      <c r="S3946" s="44"/>
      <c r="T3946" s="44"/>
      <c r="U3946" s="44"/>
      <c r="V3946" s="44"/>
      <c r="W3946" s="44"/>
      <c r="X3946" s="44"/>
      <c r="Y3946" s="44"/>
    </row>
    <row r="3947" spans="14:25" ht="15" customHeight="1" x14ac:dyDescent="0.25">
      <c r="N3947" s="44"/>
      <c r="O3947" s="44"/>
      <c r="P3947" s="44"/>
      <c r="Q3947" s="44"/>
      <c r="R3947" s="44"/>
      <c r="S3947" s="44"/>
      <c r="T3947" s="44"/>
      <c r="U3947" s="44"/>
      <c r="V3947" s="44"/>
      <c r="W3947" s="44"/>
      <c r="X3947" s="44"/>
      <c r="Y3947" s="44"/>
    </row>
    <row r="3948" spans="14:25" ht="15" customHeight="1" x14ac:dyDescent="0.25">
      <c r="N3948" s="44"/>
      <c r="O3948" s="44"/>
      <c r="P3948" s="44"/>
      <c r="Q3948" s="44"/>
      <c r="R3948" s="44"/>
      <c r="S3948" s="44"/>
      <c r="T3948" s="44"/>
      <c r="U3948" s="44"/>
      <c r="V3948" s="44"/>
      <c r="W3948" s="44"/>
      <c r="X3948" s="44"/>
      <c r="Y3948" s="44"/>
    </row>
    <row r="3949" spans="14:25" ht="15" customHeight="1" x14ac:dyDescent="0.25">
      <c r="N3949" s="44"/>
      <c r="O3949" s="44"/>
      <c r="P3949" s="44"/>
      <c r="Q3949" s="44"/>
      <c r="R3949" s="44"/>
      <c r="S3949" s="44"/>
      <c r="T3949" s="44"/>
      <c r="U3949" s="44"/>
      <c r="V3949" s="44"/>
      <c r="W3949" s="44"/>
      <c r="X3949" s="44"/>
      <c r="Y3949" s="44"/>
    </row>
    <row r="3950" spans="14:25" ht="15" customHeight="1" x14ac:dyDescent="0.25">
      <c r="N3950" s="44"/>
      <c r="O3950" s="44"/>
      <c r="P3950" s="44"/>
      <c r="Q3950" s="44"/>
      <c r="R3950" s="44"/>
      <c r="S3950" s="44"/>
      <c r="T3950" s="44"/>
      <c r="U3950" s="44"/>
      <c r="V3950" s="44"/>
      <c r="W3950" s="44"/>
      <c r="X3950" s="44"/>
      <c r="Y3950" s="44"/>
    </row>
    <row r="3951" spans="14:25" ht="15" customHeight="1" x14ac:dyDescent="0.25">
      <c r="N3951" s="44"/>
      <c r="O3951" s="44"/>
      <c r="P3951" s="44"/>
      <c r="Q3951" s="44"/>
      <c r="R3951" s="44"/>
      <c r="S3951" s="44"/>
      <c r="T3951" s="44"/>
      <c r="U3951" s="44"/>
      <c r="V3951" s="44"/>
      <c r="W3951" s="44"/>
      <c r="X3951" s="44"/>
      <c r="Y3951" s="44"/>
    </row>
    <row r="3952" spans="14:25" ht="15" customHeight="1" x14ac:dyDescent="0.25">
      <c r="N3952" s="44"/>
      <c r="O3952" s="44"/>
      <c r="P3952" s="44"/>
      <c r="Q3952" s="44"/>
      <c r="R3952" s="44"/>
      <c r="S3952" s="44"/>
      <c r="T3952" s="44"/>
      <c r="U3952" s="44"/>
      <c r="V3952" s="44"/>
      <c r="W3952" s="44"/>
      <c r="X3952" s="44"/>
      <c r="Y3952" s="44"/>
    </row>
    <row r="3953" spans="14:25" ht="15" customHeight="1" x14ac:dyDescent="0.25">
      <c r="N3953" s="44"/>
      <c r="O3953" s="44"/>
      <c r="P3953" s="44"/>
      <c r="Q3953" s="44"/>
      <c r="R3953" s="44"/>
      <c r="S3953" s="44"/>
      <c r="T3953" s="44"/>
      <c r="U3953" s="44"/>
      <c r="V3953" s="44"/>
      <c r="W3953" s="44"/>
      <c r="X3953" s="44"/>
      <c r="Y3953" s="44"/>
    </row>
    <row r="3954" spans="14:25" ht="15" customHeight="1" x14ac:dyDescent="0.25">
      <c r="N3954" s="44"/>
      <c r="O3954" s="44"/>
      <c r="P3954" s="44"/>
      <c r="Q3954" s="44"/>
      <c r="R3954" s="44"/>
      <c r="S3954" s="44"/>
      <c r="T3954" s="44"/>
      <c r="U3954" s="44"/>
      <c r="V3954" s="44"/>
      <c r="W3954" s="44"/>
      <c r="X3954" s="44"/>
      <c r="Y3954" s="44"/>
    </row>
    <row r="3955" spans="14:25" ht="15" customHeight="1" x14ac:dyDescent="0.25">
      <c r="N3955" s="44"/>
      <c r="O3955" s="44"/>
      <c r="P3955" s="44"/>
      <c r="Q3955" s="44"/>
      <c r="R3955" s="44"/>
      <c r="S3955" s="44"/>
      <c r="T3955" s="44"/>
      <c r="U3955" s="44"/>
      <c r="V3955" s="44"/>
      <c r="W3955" s="44"/>
      <c r="X3955" s="44"/>
      <c r="Y3955" s="44"/>
    </row>
    <row r="3956" spans="14:25" ht="15" customHeight="1" x14ac:dyDescent="0.25">
      <c r="N3956" s="44"/>
      <c r="O3956" s="44"/>
      <c r="P3956" s="44"/>
      <c r="Q3956" s="44"/>
      <c r="R3956" s="44"/>
      <c r="S3956" s="44"/>
      <c r="T3956" s="44"/>
      <c r="U3956" s="44"/>
      <c r="V3956" s="44"/>
      <c r="W3956" s="44"/>
      <c r="X3956" s="44"/>
      <c r="Y3956" s="44"/>
    </row>
    <row r="3957" spans="14:25" ht="15" customHeight="1" x14ac:dyDescent="0.25">
      <c r="N3957" s="44"/>
      <c r="O3957" s="44"/>
      <c r="P3957" s="44"/>
      <c r="Q3957" s="44"/>
      <c r="R3957" s="44"/>
      <c r="S3957" s="44"/>
      <c r="T3957" s="44"/>
      <c r="U3957" s="44"/>
      <c r="V3957" s="44"/>
      <c r="W3957" s="44"/>
      <c r="X3957" s="44"/>
      <c r="Y3957" s="44"/>
    </row>
    <row r="3958" spans="14:25" ht="15" customHeight="1" x14ac:dyDescent="0.25">
      <c r="N3958" s="44"/>
      <c r="O3958" s="44"/>
      <c r="P3958" s="44"/>
      <c r="Q3958" s="44"/>
      <c r="R3958" s="44"/>
      <c r="S3958" s="44"/>
      <c r="T3958" s="44"/>
      <c r="U3958" s="44"/>
      <c r="V3958" s="44"/>
      <c r="W3958" s="44"/>
      <c r="X3958" s="44"/>
      <c r="Y3958" s="44"/>
    </row>
    <row r="3959" spans="14:25" ht="15" customHeight="1" x14ac:dyDescent="0.25">
      <c r="N3959" s="44"/>
      <c r="O3959" s="44"/>
      <c r="P3959" s="44"/>
      <c r="Q3959" s="44"/>
      <c r="R3959" s="44"/>
      <c r="S3959" s="44"/>
      <c r="T3959" s="44"/>
      <c r="U3959" s="44"/>
      <c r="V3959" s="44"/>
      <c r="W3959" s="44"/>
      <c r="X3959" s="44"/>
      <c r="Y3959" s="44"/>
    </row>
    <row r="3960" spans="14:25" ht="15" customHeight="1" x14ac:dyDescent="0.25">
      <c r="N3960" s="44"/>
      <c r="O3960" s="44"/>
      <c r="P3960" s="44"/>
      <c r="Q3960" s="44"/>
      <c r="R3960" s="44"/>
      <c r="S3960" s="44"/>
      <c r="T3960" s="44"/>
      <c r="U3960" s="44"/>
      <c r="V3960" s="44"/>
      <c r="W3960" s="44"/>
      <c r="X3960" s="44"/>
      <c r="Y3960" s="44"/>
    </row>
    <row r="3961" spans="14:25" ht="15" customHeight="1" x14ac:dyDescent="0.25">
      <c r="N3961" s="44"/>
      <c r="O3961" s="44"/>
      <c r="P3961" s="44"/>
      <c r="Q3961" s="44"/>
      <c r="R3961" s="44"/>
      <c r="S3961" s="44"/>
      <c r="T3961" s="44"/>
      <c r="U3961" s="44"/>
      <c r="V3961" s="44"/>
      <c r="W3961" s="44"/>
      <c r="X3961" s="44"/>
      <c r="Y3961" s="44"/>
    </row>
    <row r="3962" spans="14:25" ht="15" customHeight="1" x14ac:dyDescent="0.25">
      <c r="N3962" s="44"/>
      <c r="O3962" s="44"/>
      <c r="P3962" s="44"/>
      <c r="Q3962" s="44"/>
      <c r="R3962" s="44"/>
      <c r="S3962" s="44"/>
      <c r="T3962" s="44"/>
      <c r="U3962" s="44"/>
      <c r="V3962" s="44"/>
      <c r="W3962" s="44"/>
      <c r="X3962" s="44"/>
      <c r="Y3962" s="44"/>
    </row>
    <row r="3963" spans="14:25" ht="15" customHeight="1" x14ac:dyDescent="0.25">
      <c r="N3963" s="44"/>
      <c r="O3963" s="44"/>
      <c r="P3963" s="44"/>
      <c r="Q3963" s="44"/>
      <c r="R3963" s="44"/>
      <c r="S3963" s="44"/>
      <c r="T3963" s="44"/>
      <c r="U3963" s="44"/>
      <c r="V3963" s="44"/>
      <c r="W3963" s="44"/>
      <c r="X3963" s="44"/>
      <c r="Y3963" s="44"/>
    </row>
    <row r="3964" spans="14:25" ht="15" customHeight="1" x14ac:dyDescent="0.25">
      <c r="N3964" s="44"/>
      <c r="O3964" s="44"/>
      <c r="P3964" s="44"/>
      <c r="Q3964" s="44"/>
      <c r="R3964" s="44"/>
      <c r="S3964" s="44"/>
      <c r="T3964" s="44"/>
      <c r="U3964" s="44"/>
      <c r="V3964" s="44"/>
      <c r="W3964" s="44"/>
      <c r="X3964" s="44"/>
      <c r="Y3964" s="44"/>
    </row>
    <row r="3965" spans="14:25" ht="15" customHeight="1" x14ac:dyDescent="0.25">
      <c r="N3965" s="44"/>
      <c r="O3965" s="44"/>
      <c r="P3965" s="44"/>
      <c r="Q3965" s="44"/>
      <c r="R3965" s="44"/>
      <c r="S3965" s="44"/>
      <c r="T3965" s="44"/>
      <c r="U3965" s="44"/>
      <c r="V3965" s="44"/>
      <c r="W3965" s="44"/>
      <c r="X3965" s="44"/>
      <c r="Y3965" s="44"/>
    </row>
    <row r="3966" spans="14:25" ht="15" customHeight="1" x14ac:dyDescent="0.25">
      <c r="N3966" s="44"/>
      <c r="O3966" s="44"/>
      <c r="P3966" s="44"/>
      <c r="Q3966" s="44"/>
      <c r="R3966" s="44"/>
      <c r="S3966" s="44"/>
      <c r="T3966" s="44"/>
      <c r="U3966" s="44"/>
      <c r="V3966" s="44"/>
      <c r="W3966" s="44"/>
      <c r="X3966" s="44"/>
      <c r="Y3966" s="44"/>
    </row>
    <row r="3967" spans="14:25" ht="15" customHeight="1" x14ac:dyDescent="0.25">
      <c r="N3967" s="44"/>
      <c r="O3967" s="44"/>
      <c r="P3967" s="44"/>
      <c r="Q3967" s="44"/>
      <c r="R3967" s="44"/>
      <c r="S3967" s="44"/>
      <c r="T3967" s="44"/>
      <c r="U3967" s="44"/>
      <c r="V3967" s="44"/>
      <c r="W3967" s="44"/>
      <c r="X3967" s="44"/>
      <c r="Y3967" s="44"/>
    </row>
    <row r="3968" spans="14:25" ht="15" customHeight="1" x14ac:dyDescent="0.25">
      <c r="N3968" s="44"/>
      <c r="O3968" s="44"/>
      <c r="P3968" s="44"/>
      <c r="Q3968" s="44"/>
      <c r="R3968" s="44"/>
      <c r="S3968" s="44"/>
      <c r="T3968" s="44"/>
      <c r="U3968" s="44"/>
      <c r="V3968" s="44"/>
      <c r="W3968" s="44"/>
      <c r="X3968" s="44"/>
      <c r="Y3968" s="44"/>
    </row>
    <row r="3969" spans="14:25" ht="15" customHeight="1" x14ac:dyDescent="0.25">
      <c r="N3969" s="44"/>
      <c r="O3969" s="44"/>
      <c r="P3969" s="44"/>
      <c r="Q3969" s="44"/>
      <c r="R3969" s="44"/>
      <c r="S3969" s="44"/>
      <c r="T3969" s="44"/>
      <c r="U3969" s="44"/>
      <c r="V3969" s="44"/>
      <c r="W3969" s="44"/>
      <c r="X3969" s="44"/>
      <c r="Y3969" s="44"/>
    </row>
    <row r="3970" spans="14:25" ht="15" customHeight="1" x14ac:dyDescent="0.25">
      <c r="N3970" s="44"/>
      <c r="O3970" s="44"/>
      <c r="P3970" s="44"/>
      <c r="Q3970" s="44"/>
      <c r="R3970" s="44"/>
      <c r="S3970" s="44"/>
      <c r="T3970" s="44"/>
      <c r="U3970" s="44"/>
      <c r="V3970" s="44"/>
      <c r="W3970" s="44"/>
      <c r="X3970" s="44"/>
      <c r="Y3970" s="44"/>
    </row>
    <row r="3971" spans="14:25" ht="15" customHeight="1" x14ac:dyDescent="0.25">
      <c r="N3971" s="44"/>
      <c r="O3971" s="44"/>
      <c r="P3971" s="44"/>
      <c r="Q3971" s="44"/>
      <c r="R3971" s="44"/>
      <c r="S3971" s="44"/>
      <c r="T3971" s="44"/>
      <c r="U3971" s="44"/>
      <c r="V3971" s="44"/>
      <c r="W3971" s="44"/>
      <c r="X3971" s="44"/>
      <c r="Y3971" s="44"/>
    </row>
    <row r="3972" spans="14:25" ht="15" customHeight="1" x14ac:dyDescent="0.25">
      <c r="N3972" s="44"/>
      <c r="O3972" s="44"/>
      <c r="P3972" s="44"/>
      <c r="Q3972" s="44"/>
      <c r="R3972" s="44"/>
      <c r="S3972" s="44"/>
      <c r="T3972" s="44"/>
      <c r="U3972" s="44"/>
      <c r="V3972" s="44"/>
      <c r="W3972" s="44"/>
      <c r="X3972" s="44"/>
      <c r="Y3972" s="44"/>
    </row>
    <row r="3973" spans="14:25" ht="15" customHeight="1" x14ac:dyDescent="0.25">
      <c r="N3973" s="44"/>
      <c r="O3973" s="44"/>
      <c r="P3973" s="44"/>
      <c r="Q3973" s="44"/>
      <c r="R3973" s="44"/>
      <c r="S3973" s="44"/>
      <c r="T3973" s="44"/>
      <c r="U3973" s="44"/>
      <c r="V3973" s="44"/>
      <c r="W3973" s="44"/>
      <c r="X3973" s="44"/>
      <c r="Y3973" s="44"/>
    </row>
    <row r="3974" spans="14:25" ht="15" customHeight="1" x14ac:dyDescent="0.25">
      <c r="N3974" s="44"/>
      <c r="O3974" s="44"/>
      <c r="P3974" s="44"/>
      <c r="Q3974" s="44"/>
      <c r="R3974" s="44"/>
      <c r="S3974" s="44"/>
      <c r="T3974" s="44"/>
      <c r="U3974" s="44"/>
      <c r="V3974" s="44"/>
      <c r="W3974" s="44"/>
      <c r="X3974" s="44"/>
      <c r="Y3974" s="44"/>
    </row>
    <row r="3975" spans="14:25" ht="15" customHeight="1" x14ac:dyDescent="0.25">
      <c r="N3975" s="44"/>
      <c r="O3975" s="44"/>
      <c r="P3975" s="44"/>
      <c r="Q3975" s="44"/>
      <c r="R3975" s="44"/>
      <c r="S3975" s="44"/>
      <c r="T3975" s="44"/>
      <c r="U3975" s="44"/>
      <c r="V3975" s="44"/>
      <c r="W3975" s="44"/>
      <c r="X3975" s="44"/>
      <c r="Y3975" s="44"/>
    </row>
    <row r="3976" spans="14:25" ht="15" customHeight="1" x14ac:dyDescent="0.25">
      <c r="N3976" s="44"/>
      <c r="O3976" s="44"/>
      <c r="P3976" s="44"/>
      <c r="Q3976" s="44"/>
      <c r="R3976" s="44"/>
      <c r="S3976" s="44"/>
      <c r="T3976" s="44"/>
      <c r="U3976" s="44"/>
      <c r="V3976" s="44"/>
      <c r="W3976" s="44"/>
      <c r="X3976" s="44"/>
      <c r="Y3976" s="44"/>
    </row>
    <row r="3977" spans="14:25" ht="15" customHeight="1" x14ac:dyDescent="0.25">
      <c r="N3977" s="44"/>
      <c r="O3977" s="44"/>
      <c r="P3977" s="44"/>
      <c r="Q3977" s="44"/>
      <c r="R3977" s="44"/>
      <c r="S3977" s="44"/>
      <c r="T3977" s="44"/>
      <c r="U3977" s="44"/>
      <c r="V3977" s="44"/>
      <c r="W3977" s="44"/>
      <c r="X3977" s="44"/>
      <c r="Y3977" s="44"/>
    </row>
    <row r="3978" spans="14:25" ht="15" customHeight="1" x14ac:dyDescent="0.25">
      <c r="N3978" s="44"/>
      <c r="O3978" s="44"/>
      <c r="P3978" s="44"/>
      <c r="Q3978" s="44"/>
      <c r="R3978" s="44"/>
      <c r="S3978" s="44"/>
      <c r="T3978" s="44"/>
      <c r="U3978" s="44"/>
      <c r="V3978" s="44"/>
      <c r="W3978" s="44"/>
      <c r="X3978" s="44"/>
      <c r="Y3978" s="44"/>
    </row>
    <row r="3979" spans="14:25" ht="15" customHeight="1" x14ac:dyDescent="0.25">
      <c r="N3979" s="44"/>
      <c r="O3979" s="44"/>
      <c r="P3979" s="44"/>
      <c r="Q3979" s="44"/>
      <c r="R3979" s="44"/>
      <c r="S3979" s="44"/>
      <c r="T3979" s="44"/>
      <c r="U3979" s="44"/>
      <c r="V3979" s="44"/>
      <c r="W3979" s="44"/>
      <c r="X3979" s="44"/>
      <c r="Y3979" s="44"/>
    </row>
    <row r="3980" spans="14:25" ht="15" customHeight="1" x14ac:dyDescent="0.25">
      <c r="N3980" s="44"/>
      <c r="O3980" s="44"/>
      <c r="P3980" s="44"/>
      <c r="Q3980" s="44"/>
      <c r="R3980" s="44"/>
      <c r="S3980" s="44"/>
      <c r="T3980" s="44"/>
      <c r="U3980" s="44"/>
      <c r="V3980" s="44"/>
      <c r="W3980" s="44"/>
      <c r="X3980" s="44"/>
      <c r="Y3980" s="44"/>
    </row>
    <row r="3981" spans="14:25" ht="15" customHeight="1" x14ac:dyDescent="0.25">
      <c r="N3981" s="44"/>
      <c r="O3981" s="44"/>
      <c r="P3981" s="44"/>
      <c r="Q3981" s="44"/>
      <c r="R3981" s="44"/>
      <c r="S3981" s="44"/>
      <c r="T3981" s="44"/>
      <c r="U3981" s="44"/>
      <c r="V3981" s="44"/>
      <c r="W3981" s="44"/>
      <c r="X3981" s="44"/>
      <c r="Y3981" s="44"/>
    </row>
    <row r="3982" spans="14:25" ht="15" customHeight="1" x14ac:dyDescent="0.25">
      <c r="N3982" s="44"/>
      <c r="O3982" s="44"/>
      <c r="P3982" s="44"/>
      <c r="Q3982" s="44"/>
      <c r="R3982" s="44"/>
      <c r="S3982" s="44"/>
      <c r="T3982" s="44"/>
      <c r="U3982" s="44"/>
      <c r="V3982" s="44"/>
      <c r="W3982" s="44"/>
      <c r="X3982" s="44"/>
      <c r="Y3982" s="44"/>
    </row>
    <row r="3983" spans="14:25" ht="15" customHeight="1" x14ac:dyDescent="0.25">
      <c r="N3983" s="44"/>
      <c r="O3983" s="44"/>
      <c r="P3983" s="44"/>
      <c r="Q3983" s="44"/>
      <c r="R3983" s="44"/>
      <c r="S3983" s="44"/>
      <c r="T3983" s="44"/>
      <c r="U3983" s="44"/>
      <c r="V3983" s="44"/>
      <c r="W3983" s="44"/>
      <c r="X3983" s="44"/>
      <c r="Y3983" s="44"/>
    </row>
    <row r="3984" spans="14:25" ht="15" customHeight="1" x14ac:dyDescent="0.25">
      <c r="N3984" s="44"/>
      <c r="O3984" s="44"/>
      <c r="P3984" s="44"/>
      <c r="Q3984" s="44"/>
      <c r="R3984" s="44"/>
      <c r="S3984" s="44"/>
      <c r="T3984" s="44"/>
      <c r="U3984" s="44"/>
      <c r="V3984" s="44"/>
      <c r="W3984" s="44"/>
      <c r="X3984" s="44"/>
      <c r="Y3984" s="44"/>
    </row>
    <row r="3985" spans="14:25" ht="15" customHeight="1" x14ac:dyDescent="0.25">
      <c r="N3985" s="44"/>
      <c r="O3985" s="44"/>
      <c r="P3985" s="44"/>
      <c r="Q3985" s="44"/>
      <c r="R3985" s="44"/>
      <c r="S3985" s="44"/>
      <c r="T3985" s="44"/>
      <c r="U3985" s="44"/>
      <c r="V3985" s="44"/>
      <c r="W3985" s="44"/>
      <c r="X3985" s="44"/>
      <c r="Y3985" s="44"/>
    </row>
    <row r="3986" spans="14:25" ht="15" customHeight="1" x14ac:dyDescent="0.25">
      <c r="N3986" s="44"/>
      <c r="O3986" s="44"/>
      <c r="P3986" s="44"/>
      <c r="Q3986" s="44"/>
      <c r="R3986" s="44"/>
      <c r="S3986" s="44"/>
      <c r="T3986" s="44"/>
      <c r="U3986" s="44"/>
      <c r="V3986" s="44"/>
      <c r="W3986" s="44"/>
      <c r="X3986" s="44"/>
      <c r="Y3986" s="44"/>
    </row>
    <row r="3987" spans="14:25" ht="15" customHeight="1" x14ac:dyDescent="0.25">
      <c r="N3987" s="44"/>
      <c r="O3987" s="44"/>
      <c r="P3987" s="44"/>
      <c r="Q3987" s="44"/>
      <c r="R3987" s="44"/>
      <c r="S3987" s="44"/>
      <c r="T3987" s="44"/>
      <c r="U3987" s="44"/>
      <c r="V3987" s="44"/>
      <c r="W3987" s="44"/>
      <c r="X3987" s="44"/>
      <c r="Y3987" s="44"/>
    </row>
    <row r="3988" spans="14:25" ht="15" customHeight="1" x14ac:dyDescent="0.25">
      <c r="N3988" s="44"/>
      <c r="O3988" s="44"/>
      <c r="P3988" s="44"/>
      <c r="Q3988" s="44"/>
      <c r="R3988" s="44"/>
      <c r="S3988" s="44"/>
      <c r="T3988" s="44"/>
      <c r="U3988" s="44"/>
      <c r="V3988" s="44"/>
      <c r="W3988" s="44"/>
      <c r="X3988" s="44"/>
      <c r="Y3988" s="44"/>
    </row>
    <row r="3989" spans="14:25" ht="15" customHeight="1" x14ac:dyDescent="0.25">
      <c r="N3989" s="44"/>
      <c r="O3989" s="44"/>
      <c r="P3989" s="44"/>
      <c r="Q3989" s="44"/>
      <c r="R3989" s="44"/>
      <c r="S3989" s="44"/>
      <c r="T3989" s="44"/>
      <c r="U3989" s="44"/>
      <c r="V3989" s="44"/>
      <c r="W3989" s="44"/>
      <c r="X3989" s="44"/>
      <c r="Y3989" s="44"/>
    </row>
    <row r="3990" spans="14:25" ht="15" customHeight="1" x14ac:dyDescent="0.25">
      <c r="N3990" s="44"/>
      <c r="O3990" s="44"/>
      <c r="P3990" s="44"/>
      <c r="Q3990" s="44"/>
      <c r="R3990" s="44"/>
      <c r="S3990" s="44"/>
      <c r="T3990" s="44"/>
      <c r="U3990" s="44"/>
      <c r="V3990" s="44"/>
      <c r="W3990" s="44"/>
      <c r="X3990" s="44"/>
      <c r="Y3990" s="44"/>
    </row>
    <row r="3991" spans="14:25" ht="15" customHeight="1" x14ac:dyDescent="0.25">
      <c r="N3991" s="44"/>
      <c r="O3991" s="44"/>
      <c r="P3991" s="44"/>
      <c r="Q3991" s="44"/>
      <c r="R3991" s="44"/>
      <c r="S3991" s="44"/>
      <c r="T3991" s="44"/>
      <c r="U3991" s="44"/>
      <c r="V3991" s="44"/>
      <c r="W3991" s="44"/>
      <c r="X3991" s="44"/>
      <c r="Y3991" s="44"/>
    </row>
    <row r="3992" spans="14:25" ht="15" customHeight="1" x14ac:dyDescent="0.25">
      <c r="N3992" s="44"/>
      <c r="O3992" s="44"/>
      <c r="P3992" s="44"/>
      <c r="Q3992" s="44"/>
      <c r="R3992" s="44"/>
      <c r="S3992" s="44"/>
      <c r="T3992" s="44"/>
      <c r="U3992" s="44"/>
      <c r="V3992" s="44"/>
      <c r="W3992" s="44"/>
      <c r="X3992" s="44"/>
      <c r="Y3992" s="44"/>
    </row>
    <row r="3993" spans="14:25" ht="15" customHeight="1" x14ac:dyDescent="0.25">
      <c r="N3993" s="44"/>
      <c r="O3993" s="44"/>
      <c r="P3993" s="44"/>
      <c r="Q3993" s="44"/>
      <c r="R3993" s="44"/>
      <c r="S3993" s="44"/>
      <c r="T3993" s="44"/>
      <c r="U3993" s="44"/>
      <c r="V3993" s="44"/>
      <c r="W3993" s="44"/>
      <c r="X3993" s="44"/>
      <c r="Y3993" s="44"/>
    </row>
    <row r="3994" spans="14:25" ht="15" customHeight="1" x14ac:dyDescent="0.25">
      <c r="N3994" s="44"/>
      <c r="O3994" s="44"/>
      <c r="P3994" s="44"/>
      <c r="Q3994" s="44"/>
      <c r="R3994" s="44"/>
      <c r="S3994" s="44"/>
      <c r="T3994" s="44"/>
      <c r="U3994" s="44"/>
      <c r="V3994" s="44"/>
      <c r="W3994" s="44"/>
      <c r="X3994" s="44"/>
      <c r="Y3994" s="44"/>
    </row>
    <row r="3995" spans="14:25" ht="15" customHeight="1" x14ac:dyDescent="0.25">
      <c r="N3995" s="44"/>
      <c r="O3995" s="44"/>
      <c r="P3995" s="44"/>
      <c r="Q3995" s="44"/>
      <c r="R3995" s="44"/>
      <c r="S3995" s="44"/>
      <c r="T3995" s="44"/>
      <c r="U3995" s="44"/>
      <c r="V3995" s="44"/>
      <c r="W3995" s="44"/>
      <c r="X3995" s="44"/>
      <c r="Y3995" s="44"/>
    </row>
    <row r="3996" spans="14:25" ht="15" customHeight="1" x14ac:dyDescent="0.25">
      <c r="N3996" s="44"/>
      <c r="O3996" s="44"/>
      <c r="P3996" s="44"/>
      <c r="Q3996" s="44"/>
      <c r="R3996" s="44"/>
      <c r="S3996" s="44"/>
      <c r="T3996" s="44"/>
      <c r="U3996" s="44"/>
      <c r="V3996" s="44"/>
      <c r="W3996" s="44"/>
      <c r="X3996" s="44"/>
      <c r="Y3996" s="44"/>
    </row>
    <row r="3997" spans="14:25" ht="15" customHeight="1" x14ac:dyDescent="0.25">
      <c r="N3997" s="44"/>
      <c r="O3997" s="44"/>
      <c r="P3997" s="44"/>
      <c r="Q3997" s="44"/>
      <c r="R3997" s="44"/>
      <c r="S3997" s="44"/>
      <c r="T3997" s="44"/>
      <c r="U3997" s="44"/>
      <c r="V3997" s="44"/>
      <c r="W3997" s="44"/>
      <c r="X3997" s="44"/>
      <c r="Y3997" s="44"/>
    </row>
    <row r="3998" spans="14:25" ht="15" customHeight="1" x14ac:dyDescent="0.25">
      <c r="N3998" s="44"/>
      <c r="O3998" s="44"/>
      <c r="P3998" s="44"/>
      <c r="Q3998" s="44"/>
      <c r="R3998" s="44"/>
      <c r="S3998" s="44"/>
      <c r="T3998" s="44"/>
      <c r="U3998" s="44"/>
      <c r="V3998" s="44"/>
      <c r="W3998" s="44"/>
      <c r="X3998" s="44"/>
      <c r="Y3998" s="44"/>
    </row>
    <row r="3999" spans="14:25" ht="15" customHeight="1" x14ac:dyDescent="0.25">
      <c r="N3999" s="44"/>
      <c r="O3999" s="44"/>
      <c r="P3999" s="44"/>
      <c r="Q3999" s="44"/>
      <c r="R3999" s="44"/>
      <c r="S3999" s="44"/>
      <c r="T3999" s="44"/>
      <c r="U3999" s="44"/>
      <c r="V3999" s="44"/>
      <c r="W3999" s="44"/>
      <c r="X3999" s="44"/>
      <c r="Y3999" s="44"/>
    </row>
    <row r="4000" spans="14:25" ht="15" customHeight="1" x14ac:dyDescent="0.25">
      <c r="N4000" s="44"/>
      <c r="O4000" s="44"/>
      <c r="P4000" s="44"/>
      <c r="Q4000" s="44"/>
      <c r="R4000" s="44"/>
      <c r="S4000" s="44"/>
      <c r="T4000" s="44"/>
      <c r="U4000" s="44"/>
      <c r="V4000" s="44"/>
      <c r="W4000" s="44"/>
      <c r="X4000" s="44"/>
      <c r="Y4000" s="44"/>
    </row>
    <row r="4001" spans="14:25" ht="15" customHeight="1" x14ac:dyDescent="0.25">
      <c r="N4001" s="44"/>
      <c r="O4001" s="44"/>
      <c r="P4001" s="44"/>
      <c r="Q4001" s="44"/>
      <c r="R4001" s="44"/>
      <c r="S4001" s="44"/>
      <c r="T4001" s="44"/>
      <c r="U4001" s="44"/>
      <c r="V4001" s="44"/>
      <c r="W4001" s="44"/>
      <c r="X4001" s="44"/>
      <c r="Y4001" s="44"/>
    </row>
    <row r="4002" spans="14:25" ht="15" customHeight="1" x14ac:dyDescent="0.25">
      <c r="N4002" s="44"/>
      <c r="O4002" s="44"/>
      <c r="P4002" s="44"/>
      <c r="Q4002" s="44"/>
      <c r="R4002" s="44"/>
      <c r="S4002" s="44"/>
      <c r="T4002" s="44"/>
      <c r="U4002" s="44"/>
      <c r="V4002" s="44"/>
      <c r="W4002" s="44"/>
      <c r="X4002" s="44"/>
      <c r="Y4002" s="44"/>
    </row>
    <row r="4003" spans="14:25" ht="15" customHeight="1" x14ac:dyDescent="0.25">
      <c r="N4003" s="44"/>
      <c r="O4003" s="44"/>
      <c r="P4003" s="44"/>
      <c r="Q4003" s="44"/>
      <c r="R4003" s="44"/>
      <c r="S4003" s="44"/>
      <c r="T4003" s="44"/>
      <c r="U4003" s="44"/>
      <c r="V4003" s="44"/>
      <c r="W4003" s="44"/>
      <c r="X4003" s="44"/>
      <c r="Y4003" s="44"/>
    </row>
    <row r="4004" spans="14:25" ht="15" customHeight="1" x14ac:dyDescent="0.25">
      <c r="N4004" s="44"/>
      <c r="O4004" s="44"/>
      <c r="P4004" s="44"/>
      <c r="Q4004" s="44"/>
      <c r="R4004" s="44"/>
      <c r="S4004" s="44"/>
      <c r="T4004" s="44"/>
      <c r="U4004" s="44"/>
      <c r="V4004" s="44"/>
      <c r="W4004" s="44"/>
      <c r="X4004" s="44"/>
      <c r="Y4004" s="44"/>
    </row>
    <row r="4005" spans="14:25" ht="15" customHeight="1" x14ac:dyDescent="0.25">
      <c r="N4005" s="44"/>
      <c r="O4005" s="44"/>
      <c r="P4005" s="44"/>
      <c r="Q4005" s="44"/>
      <c r="R4005" s="44"/>
      <c r="S4005" s="44"/>
      <c r="T4005" s="44"/>
      <c r="U4005" s="44"/>
      <c r="V4005" s="44"/>
      <c r="W4005" s="44"/>
      <c r="X4005" s="44"/>
      <c r="Y4005" s="44"/>
    </row>
    <row r="4006" spans="14:25" ht="15" customHeight="1" x14ac:dyDescent="0.25">
      <c r="N4006" s="44"/>
      <c r="O4006" s="44"/>
      <c r="P4006" s="44"/>
      <c r="Q4006" s="44"/>
      <c r="R4006" s="44"/>
      <c r="S4006" s="44"/>
      <c r="T4006" s="44"/>
      <c r="U4006" s="44"/>
      <c r="V4006" s="44"/>
      <c r="W4006" s="44"/>
      <c r="X4006" s="44"/>
      <c r="Y4006" s="44"/>
    </row>
    <row r="4007" spans="14:25" ht="15" customHeight="1" x14ac:dyDescent="0.25">
      <c r="N4007" s="44"/>
      <c r="O4007" s="44"/>
      <c r="P4007" s="44"/>
      <c r="Q4007" s="44"/>
      <c r="R4007" s="44"/>
      <c r="S4007" s="44"/>
      <c r="T4007" s="44"/>
      <c r="U4007" s="44"/>
      <c r="V4007" s="44"/>
      <c r="W4007" s="44"/>
      <c r="X4007" s="44"/>
      <c r="Y4007" s="44"/>
    </row>
    <row r="4008" spans="14:25" ht="15" customHeight="1" x14ac:dyDescent="0.25">
      <c r="N4008" s="44"/>
      <c r="O4008" s="44"/>
      <c r="P4008" s="44"/>
      <c r="Q4008" s="44"/>
      <c r="R4008" s="44"/>
      <c r="S4008" s="44"/>
      <c r="T4008" s="44"/>
      <c r="U4008" s="44"/>
      <c r="V4008" s="44"/>
      <c r="W4008" s="44"/>
      <c r="X4008" s="44"/>
      <c r="Y4008" s="44"/>
    </row>
    <row r="4009" spans="14:25" ht="15" customHeight="1" x14ac:dyDescent="0.25">
      <c r="N4009" s="44"/>
      <c r="O4009" s="44"/>
      <c r="P4009" s="44"/>
      <c r="Q4009" s="44"/>
      <c r="R4009" s="44"/>
      <c r="S4009" s="44"/>
      <c r="T4009" s="44"/>
      <c r="U4009" s="44"/>
      <c r="V4009" s="44"/>
      <c r="W4009" s="44"/>
      <c r="X4009" s="44"/>
      <c r="Y4009" s="44"/>
    </row>
    <row r="4010" spans="14:25" ht="15" customHeight="1" x14ac:dyDescent="0.25">
      <c r="N4010" s="44"/>
      <c r="O4010" s="44"/>
      <c r="P4010" s="44"/>
      <c r="Q4010" s="44"/>
      <c r="R4010" s="44"/>
      <c r="S4010" s="44"/>
      <c r="T4010" s="44"/>
      <c r="U4010" s="44"/>
      <c r="V4010" s="44"/>
      <c r="W4010" s="44"/>
      <c r="X4010" s="44"/>
      <c r="Y4010" s="44"/>
    </row>
    <row r="4011" spans="14:25" ht="15" customHeight="1" x14ac:dyDescent="0.25">
      <c r="N4011" s="44"/>
      <c r="O4011" s="44"/>
      <c r="P4011" s="44"/>
      <c r="Q4011" s="44"/>
      <c r="R4011" s="44"/>
      <c r="S4011" s="44"/>
      <c r="T4011" s="44"/>
      <c r="U4011" s="44"/>
      <c r="V4011" s="44"/>
      <c r="W4011" s="44"/>
      <c r="X4011" s="44"/>
      <c r="Y4011" s="44"/>
    </row>
    <row r="4012" spans="14:25" ht="15" customHeight="1" x14ac:dyDescent="0.25">
      <c r="N4012" s="44"/>
      <c r="O4012" s="44"/>
      <c r="P4012" s="44"/>
      <c r="Q4012" s="44"/>
      <c r="R4012" s="44"/>
      <c r="S4012" s="44"/>
      <c r="T4012" s="44"/>
      <c r="U4012" s="44"/>
      <c r="V4012" s="44"/>
      <c r="W4012" s="44"/>
      <c r="X4012" s="44"/>
      <c r="Y4012" s="44"/>
    </row>
    <row r="4013" spans="14:25" ht="15" customHeight="1" x14ac:dyDescent="0.25">
      <c r="N4013" s="44"/>
      <c r="O4013" s="44"/>
      <c r="P4013" s="44"/>
      <c r="Q4013" s="44"/>
      <c r="R4013" s="44"/>
      <c r="S4013" s="44"/>
      <c r="T4013" s="44"/>
      <c r="U4013" s="44"/>
      <c r="V4013" s="44"/>
      <c r="W4013" s="44"/>
      <c r="X4013" s="44"/>
      <c r="Y4013" s="44"/>
    </row>
    <row r="4014" spans="14:25" ht="15" customHeight="1" x14ac:dyDescent="0.25">
      <c r="N4014" s="44"/>
      <c r="O4014" s="44"/>
      <c r="P4014" s="44"/>
      <c r="Q4014" s="44"/>
      <c r="R4014" s="44"/>
      <c r="S4014" s="44"/>
      <c r="T4014" s="44"/>
      <c r="U4014" s="44"/>
      <c r="V4014" s="44"/>
      <c r="W4014" s="44"/>
      <c r="X4014" s="44"/>
      <c r="Y4014" s="44"/>
    </row>
    <row r="4015" spans="14:25" ht="15" customHeight="1" x14ac:dyDescent="0.25">
      <c r="N4015" s="44"/>
      <c r="O4015" s="44"/>
      <c r="P4015" s="44"/>
      <c r="Q4015" s="44"/>
      <c r="R4015" s="44"/>
      <c r="S4015" s="44"/>
      <c r="T4015" s="44"/>
      <c r="U4015" s="44"/>
      <c r="V4015" s="44"/>
      <c r="W4015" s="44"/>
      <c r="X4015" s="44"/>
      <c r="Y4015" s="44"/>
    </row>
    <row r="4016" spans="14:25" ht="15" customHeight="1" x14ac:dyDescent="0.25">
      <c r="N4016" s="44"/>
      <c r="O4016" s="44"/>
      <c r="P4016" s="44"/>
      <c r="Q4016" s="44"/>
      <c r="R4016" s="44"/>
      <c r="S4016" s="44"/>
      <c r="T4016" s="44"/>
      <c r="U4016" s="44"/>
      <c r="V4016" s="44"/>
      <c r="W4016" s="44"/>
      <c r="X4016" s="44"/>
      <c r="Y4016" s="44"/>
    </row>
    <row r="4017" spans="14:25" ht="15" customHeight="1" x14ac:dyDescent="0.25">
      <c r="N4017" s="44"/>
      <c r="O4017" s="44"/>
      <c r="P4017" s="44"/>
      <c r="Q4017" s="44"/>
      <c r="R4017" s="44"/>
      <c r="S4017" s="44"/>
      <c r="T4017" s="44"/>
      <c r="U4017" s="44"/>
      <c r="V4017" s="44"/>
      <c r="W4017" s="44"/>
      <c r="X4017" s="44"/>
      <c r="Y4017" s="44"/>
    </row>
    <row r="4018" spans="14:25" ht="15" customHeight="1" x14ac:dyDescent="0.25">
      <c r="N4018" s="44"/>
      <c r="O4018" s="44"/>
      <c r="P4018" s="44"/>
      <c r="Q4018" s="44"/>
      <c r="R4018" s="44"/>
      <c r="S4018" s="44"/>
      <c r="T4018" s="44"/>
      <c r="U4018" s="44"/>
      <c r="V4018" s="44"/>
      <c r="W4018" s="44"/>
      <c r="X4018" s="44"/>
      <c r="Y4018" s="44"/>
    </row>
    <row r="4019" spans="14:25" ht="15" customHeight="1" x14ac:dyDescent="0.25">
      <c r="N4019" s="44"/>
      <c r="O4019" s="44"/>
      <c r="P4019" s="44"/>
      <c r="Q4019" s="44"/>
      <c r="R4019" s="44"/>
      <c r="S4019" s="44"/>
      <c r="T4019" s="44"/>
      <c r="U4019" s="44"/>
      <c r="V4019" s="44"/>
      <c r="W4019" s="44"/>
      <c r="X4019" s="44"/>
      <c r="Y4019" s="44"/>
    </row>
    <row r="4020" spans="14:25" ht="15" customHeight="1" x14ac:dyDescent="0.25">
      <c r="N4020" s="44"/>
      <c r="O4020" s="44"/>
      <c r="P4020" s="44"/>
      <c r="Q4020" s="44"/>
      <c r="R4020" s="44"/>
      <c r="S4020" s="44"/>
      <c r="T4020" s="44"/>
      <c r="U4020" s="44"/>
      <c r="V4020" s="44"/>
      <c r="W4020" s="44"/>
      <c r="X4020" s="44"/>
      <c r="Y4020" s="44"/>
    </row>
    <row r="4021" spans="14:25" ht="15" customHeight="1" x14ac:dyDescent="0.25">
      <c r="N4021" s="44"/>
      <c r="O4021" s="44"/>
      <c r="P4021" s="44"/>
      <c r="Q4021" s="44"/>
      <c r="R4021" s="44"/>
      <c r="S4021" s="44"/>
      <c r="T4021" s="44"/>
      <c r="U4021" s="44"/>
      <c r="V4021" s="44"/>
      <c r="W4021" s="44"/>
      <c r="X4021" s="44"/>
      <c r="Y4021" s="44"/>
    </row>
    <row r="4022" spans="14:25" ht="15" customHeight="1" x14ac:dyDescent="0.25">
      <c r="N4022" s="44"/>
      <c r="O4022" s="44"/>
      <c r="P4022" s="44"/>
      <c r="Q4022" s="44"/>
      <c r="R4022" s="44"/>
      <c r="S4022" s="44"/>
      <c r="T4022" s="44"/>
      <c r="U4022" s="44"/>
      <c r="V4022" s="44"/>
      <c r="W4022" s="44"/>
      <c r="X4022" s="44"/>
      <c r="Y4022" s="44"/>
    </row>
    <row r="4023" spans="14:25" ht="15" customHeight="1" x14ac:dyDescent="0.25">
      <c r="N4023" s="44"/>
      <c r="O4023" s="44"/>
      <c r="P4023" s="44"/>
      <c r="Q4023" s="44"/>
      <c r="R4023" s="44"/>
      <c r="S4023" s="44"/>
      <c r="T4023" s="44"/>
      <c r="U4023" s="44"/>
      <c r="V4023" s="44"/>
      <c r="W4023" s="44"/>
      <c r="X4023" s="44"/>
      <c r="Y4023" s="44"/>
    </row>
    <row r="4024" spans="14:25" ht="15" customHeight="1" x14ac:dyDescent="0.25">
      <c r="N4024" s="44"/>
      <c r="O4024" s="44"/>
      <c r="P4024" s="44"/>
      <c r="Q4024" s="44"/>
      <c r="R4024" s="44"/>
      <c r="S4024" s="44"/>
      <c r="T4024" s="44"/>
      <c r="U4024" s="44"/>
      <c r="V4024" s="44"/>
      <c r="W4024" s="44"/>
      <c r="X4024" s="44"/>
      <c r="Y4024" s="44"/>
    </row>
    <row r="4025" spans="14:25" ht="15" customHeight="1" x14ac:dyDescent="0.25">
      <c r="N4025" s="44"/>
      <c r="O4025" s="44"/>
      <c r="P4025" s="44"/>
      <c r="Q4025" s="44"/>
      <c r="R4025" s="44"/>
      <c r="S4025" s="44"/>
      <c r="T4025" s="44"/>
      <c r="U4025" s="44"/>
      <c r="V4025" s="44"/>
      <c r="W4025" s="44"/>
      <c r="X4025" s="44"/>
      <c r="Y4025" s="44"/>
    </row>
    <row r="4026" spans="14:25" ht="15" customHeight="1" x14ac:dyDescent="0.25">
      <c r="N4026" s="44"/>
      <c r="O4026" s="44"/>
      <c r="P4026" s="44"/>
      <c r="Q4026" s="44"/>
      <c r="R4026" s="44"/>
      <c r="S4026" s="44"/>
      <c r="T4026" s="44"/>
      <c r="U4026" s="44"/>
      <c r="V4026" s="44"/>
      <c r="W4026" s="44"/>
      <c r="X4026" s="44"/>
      <c r="Y4026" s="44"/>
    </row>
    <row r="4027" spans="14:25" ht="15" customHeight="1" x14ac:dyDescent="0.25">
      <c r="N4027" s="44"/>
      <c r="O4027" s="44"/>
      <c r="P4027" s="44"/>
      <c r="Q4027" s="44"/>
      <c r="R4027" s="44"/>
      <c r="S4027" s="44"/>
      <c r="T4027" s="44"/>
      <c r="U4027" s="44"/>
      <c r="V4027" s="44"/>
      <c r="W4027" s="44"/>
      <c r="X4027" s="44"/>
      <c r="Y4027" s="44"/>
    </row>
    <row r="4028" spans="14:25" ht="15" customHeight="1" x14ac:dyDescent="0.25">
      <c r="N4028" s="44"/>
      <c r="O4028" s="44"/>
      <c r="P4028" s="44"/>
      <c r="Q4028" s="44"/>
      <c r="R4028" s="44"/>
      <c r="S4028" s="44"/>
      <c r="T4028" s="44"/>
      <c r="U4028" s="44"/>
      <c r="V4028" s="44"/>
      <c r="W4028" s="44"/>
      <c r="X4028" s="44"/>
      <c r="Y4028" s="44"/>
    </row>
    <row r="4029" spans="14:25" ht="15" customHeight="1" x14ac:dyDescent="0.25">
      <c r="N4029" s="44"/>
      <c r="O4029" s="44"/>
      <c r="P4029" s="44"/>
      <c r="Q4029" s="44"/>
      <c r="R4029" s="44"/>
      <c r="S4029" s="44"/>
      <c r="T4029" s="44"/>
      <c r="U4029" s="44"/>
      <c r="V4029" s="44"/>
      <c r="W4029" s="44"/>
      <c r="X4029" s="44"/>
      <c r="Y4029" s="44"/>
    </row>
    <row r="4030" spans="14:25" ht="15" customHeight="1" x14ac:dyDescent="0.25">
      <c r="N4030" s="44"/>
      <c r="O4030" s="44"/>
      <c r="P4030" s="44"/>
      <c r="Q4030" s="44"/>
      <c r="R4030" s="44"/>
      <c r="S4030" s="44"/>
      <c r="T4030" s="44"/>
      <c r="U4030" s="44"/>
      <c r="V4030" s="44"/>
      <c r="W4030" s="44"/>
      <c r="X4030" s="44"/>
      <c r="Y4030" s="44"/>
    </row>
    <row r="4031" spans="14:25" ht="15" customHeight="1" x14ac:dyDescent="0.25">
      <c r="N4031" s="44"/>
      <c r="O4031" s="44"/>
      <c r="P4031" s="44"/>
      <c r="Q4031" s="44"/>
      <c r="R4031" s="44"/>
      <c r="S4031" s="44"/>
      <c r="T4031" s="44"/>
      <c r="U4031" s="44"/>
      <c r="V4031" s="44"/>
      <c r="W4031" s="44"/>
      <c r="X4031" s="44"/>
      <c r="Y4031" s="44"/>
    </row>
    <row r="4032" spans="14:25" ht="15" customHeight="1" x14ac:dyDescent="0.25">
      <c r="N4032" s="44"/>
      <c r="O4032" s="44"/>
      <c r="P4032" s="44"/>
      <c r="Q4032" s="44"/>
      <c r="R4032" s="44"/>
      <c r="S4032" s="44"/>
      <c r="T4032" s="44"/>
      <c r="U4032" s="44"/>
      <c r="V4032" s="44"/>
      <c r="W4032" s="44"/>
      <c r="X4032" s="44"/>
      <c r="Y4032" s="44"/>
    </row>
    <row r="4033" spans="14:25" ht="15" customHeight="1" x14ac:dyDescent="0.25">
      <c r="N4033" s="44"/>
      <c r="O4033" s="44"/>
      <c r="P4033" s="44"/>
      <c r="Q4033" s="44"/>
      <c r="R4033" s="44"/>
      <c r="S4033" s="44"/>
      <c r="T4033" s="44"/>
      <c r="U4033" s="44"/>
      <c r="V4033" s="44"/>
      <c r="W4033" s="44"/>
      <c r="X4033" s="44"/>
      <c r="Y4033" s="44"/>
    </row>
    <row r="4034" spans="14:25" ht="15" customHeight="1" x14ac:dyDescent="0.25">
      <c r="N4034" s="44"/>
      <c r="O4034" s="44"/>
      <c r="P4034" s="44"/>
      <c r="Q4034" s="44"/>
      <c r="R4034" s="44"/>
      <c r="S4034" s="44"/>
      <c r="T4034" s="44"/>
      <c r="U4034" s="44"/>
      <c r="V4034" s="44"/>
      <c r="W4034" s="44"/>
      <c r="X4034" s="44"/>
      <c r="Y4034" s="44"/>
    </row>
    <row r="4035" spans="14:25" ht="15" customHeight="1" x14ac:dyDescent="0.25">
      <c r="N4035" s="44"/>
      <c r="O4035" s="44"/>
      <c r="P4035" s="44"/>
      <c r="Q4035" s="44"/>
      <c r="R4035" s="44"/>
      <c r="S4035" s="44"/>
      <c r="T4035" s="44"/>
      <c r="U4035" s="44"/>
      <c r="V4035" s="44"/>
      <c r="W4035" s="44"/>
      <c r="X4035" s="44"/>
      <c r="Y4035" s="44"/>
    </row>
    <row r="4036" spans="14:25" ht="15" customHeight="1" x14ac:dyDescent="0.25">
      <c r="N4036" s="44"/>
      <c r="O4036" s="44"/>
      <c r="P4036" s="44"/>
      <c r="Q4036" s="44"/>
      <c r="R4036" s="44"/>
      <c r="S4036" s="44"/>
      <c r="T4036" s="44"/>
      <c r="U4036" s="44"/>
      <c r="V4036" s="44"/>
      <c r="W4036" s="44"/>
      <c r="X4036" s="44"/>
      <c r="Y4036" s="44"/>
    </row>
    <row r="4037" spans="14:25" ht="15" customHeight="1" x14ac:dyDescent="0.25">
      <c r="N4037" s="44"/>
      <c r="O4037" s="44"/>
      <c r="P4037" s="44"/>
      <c r="Q4037" s="44"/>
      <c r="R4037" s="44"/>
      <c r="S4037" s="44"/>
      <c r="T4037" s="44"/>
      <c r="U4037" s="44"/>
      <c r="V4037" s="44"/>
      <c r="W4037" s="44"/>
      <c r="X4037" s="44"/>
      <c r="Y4037" s="44"/>
    </row>
    <row r="4038" spans="14:25" ht="15" customHeight="1" x14ac:dyDescent="0.25">
      <c r="N4038" s="44"/>
      <c r="O4038" s="44"/>
      <c r="P4038" s="44"/>
      <c r="Q4038" s="44"/>
      <c r="R4038" s="44"/>
      <c r="S4038" s="44"/>
      <c r="T4038" s="44"/>
      <c r="U4038" s="44"/>
      <c r="V4038" s="44"/>
      <c r="W4038" s="44"/>
      <c r="X4038" s="44"/>
      <c r="Y4038" s="44"/>
    </row>
    <row r="4039" spans="14:25" ht="15" customHeight="1" x14ac:dyDescent="0.25">
      <c r="N4039" s="44"/>
      <c r="O4039" s="44"/>
      <c r="P4039" s="44"/>
      <c r="Q4039" s="44"/>
      <c r="R4039" s="44"/>
      <c r="S4039" s="44"/>
      <c r="T4039" s="44"/>
      <c r="U4039" s="44"/>
      <c r="V4039" s="44"/>
      <c r="W4039" s="44"/>
      <c r="X4039" s="44"/>
      <c r="Y4039" s="44"/>
    </row>
    <row r="4040" spans="14:25" ht="15" customHeight="1" x14ac:dyDescent="0.25">
      <c r="N4040" s="44"/>
      <c r="O4040" s="44"/>
      <c r="P4040" s="44"/>
      <c r="Q4040" s="44"/>
      <c r="R4040" s="44"/>
      <c r="S4040" s="44"/>
      <c r="T4040" s="44"/>
      <c r="U4040" s="44"/>
      <c r="V4040" s="44"/>
      <c r="W4040" s="44"/>
      <c r="X4040" s="44"/>
      <c r="Y4040" s="44"/>
    </row>
    <row r="4041" spans="14:25" ht="15" customHeight="1" x14ac:dyDescent="0.25">
      <c r="N4041" s="44"/>
      <c r="O4041" s="44"/>
      <c r="P4041" s="44"/>
      <c r="Q4041" s="44"/>
      <c r="R4041" s="44"/>
      <c r="S4041" s="44"/>
      <c r="T4041" s="44"/>
      <c r="U4041" s="44"/>
      <c r="V4041" s="44"/>
      <c r="W4041" s="44"/>
      <c r="X4041" s="44"/>
      <c r="Y4041" s="44"/>
    </row>
    <row r="4042" spans="14:25" ht="15" customHeight="1" x14ac:dyDescent="0.25">
      <c r="N4042" s="44"/>
      <c r="O4042" s="44"/>
      <c r="P4042" s="44"/>
      <c r="Q4042" s="44"/>
      <c r="R4042" s="44"/>
      <c r="S4042" s="44"/>
      <c r="T4042" s="44"/>
      <c r="U4042" s="44"/>
      <c r="V4042" s="44"/>
      <c r="W4042" s="44"/>
      <c r="X4042" s="44"/>
      <c r="Y4042" s="44"/>
    </row>
    <row r="4043" spans="14:25" ht="15" customHeight="1" x14ac:dyDescent="0.25">
      <c r="N4043" s="44"/>
      <c r="O4043" s="44"/>
      <c r="P4043" s="44"/>
      <c r="Q4043" s="44"/>
      <c r="R4043" s="44"/>
      <c r="S4043" s="44"/>
      <c r="T4043" s="44"/>
      <c r="U4043" s="44"/>
      <c r="V4043" s="44"/>
      <c r="W4043" s="44"/>
      <c r="X4043" s="44"/>
      <c r="Y4043" s="44"/>
    </row>
    <row r="4044" spans="14:25" ht="15" customHeight="1" x14ac:dyDescent="0.25">
      <c r="N4044" s="44"/>
      <c r="O4044" s="44"/>
      <c r="P4044" s="44"/>
      <c r="Q4044" s="44"/>
      <c r="R4044" s="44"/>
      <c r="S4044" s="44"/>
      <c r="T4044" s="44"/>
      <c r="U4044" s="44"/>
      <c r="V4044" s="44"/>
      <c r="W4044" s="44"/>
      <c r="X4044" s="44"/>
      <c r="Y4044" s="44"/>
    </row>
    <row r="4045" spans="14:25" ht="15" customHeight="1" x14ac:dyDescent="0.25">
      <c r="N4045" s="44"/>
      <c r="O4045" s="44"/>
      <c r="P4045" s="44"/>
      <c r="Q4045" s="44"/>
      <c r="R4045" s="44"/>
      <c r="S4045" s="44"/>
      <c r="T4045" s="44"/>
      <c r="U4045" s="44"/>
      <c r="V4045" s="44"/>
      <c r="W4045" s="44"/>
      <c r="X4045" s="44"/>
      <c r="Y4045" s="44"/>
    </row>
    <row r="4046" spans="14:25" ht="15" customHeight="1" x14ac:dyDescent="0.25">
      <c r="N4046" s="44"/>
      <c r="O4046" s="44"/>
      <c r="P4046" s="44"/>
      <c r="Q4046" s="44"/>
      <c r="R4046" s="44"/>
      <c r="S4046" s="44"/>
      <c r="T4046" s="44"/>
      <c r="U4046" s="44"/>
      <c r="V4046" s="44"/>
      <c r="W4046" s="44"/>
      <c r="X4046" s="44"/>
      <c r="Y4046" s="44"/>
    </row>
    <row r="4047" spans="14:25" ht="15" customHeight="1" x14ac:dyDescent="0.25">
      <c r="N4047" s="44"/>
      <c r="O4047" s="44"/>
      <c r="P4047" s="44"/>
      <c r="Q4047" s="44"/>
      <c r="R4047" s="44"/>
      <c r="S4047" s="44"/>
      <c r="T4047" s="44"/>
      <c r="U4047" s="44"/>
      <c r="V4047" s="44"/>
      <c r="W4047" s="44"/>
      <c r="X4047" s="44"/>
      <c r="Y4047" s="44"/>
    </row>
    <row r="4048" spans="14:25" ht="15" customHeight="1" x14ac:dyDescent="0.25">
      <c r="N4048" s="44"/>
      <c r="O4048" s="44"/>
      <c r="P4048" s="44"/>
      <c r="Q4048" s="44"/>
      <c r="R4048" s="44"/>
      <c r="S4048" s="44"/>
      <c r="T4048" s="44"/>
      <c r="U4048" s="44"/>
      <c r="V4048" s="44"/>
      <c r="W4048" s="44"/>
      <c r="X4048" s="44"/>
      <c r="Y4048" s="44"/>
    </row>
    <row r="4049" spans="14:25" ht="15" customHeight="1" x14ac:dyDescent="0.25">
      <c r="N4049" s="44"/>
      <c r="O4049" s="44"/>
      <c r="P4049" s="44"/>
      <c r="Q4049" s="44"/>
      <c r="R4049" s="44"/>
      <c r="S4049" s="44"/>
      <c r="T4049" s="44"/>
      <c r="U4049" s="44"/>
      <c r="V4049" s="44"/>
      <c r="W4049" s="44"/>
      <c r="X4049" s="44"/>
      <c r="Y4049" s="44"/>
    </row>
    <row r="4050" spans="14:25" ht="15" customHeight="1" x14ac:dyDescent="0.25">
      <c r="N4050" s="44"/>
      <c r="O4050" s="44"/>
      <c r="P4050" s="44"/>
      <c r="Q4050" s="44"/>
      <c r="R4050" s="44"/>
      <c r="S4050" s="44"/>
      <c r="T4050" s="44"/>
      <c r="U4050" s="44"/>
      <c r="V4050" s="44"/>
      <c r="W4050" s="44"/>
      <c r="X4050" s="44"/>
      <c r="Y4050" s="44"/>
    </row>
    <row r="4051" spans="14:25" ht="15" customHeight="1" x14ac:dyDescent="0.25">
      <c r="N4051" s="44"/>
      <c r="O4051" s="44"/>
      <c r="P4051" s="44"/>
      <c r="Q4051" s="44"/>
      <c r="R4051" s="44"/>
      <c r="S4051" s="44"/>
      <c r="T4051" s="44"/>
      <c r="U4051" s="44"/>
      <c r="V4051" s="44"/>
      <c r="W4051" s="44"/>
      <c r="X4051" s="44"/>
      <c r="Y4051" s="44"/>
    </row>
    <row r="4052" spans="14:25" ht="15" customHeight="1" x14ac:dyDescent="0.25">
      <c r="N4052" s="44"/>
      <c r="O4052" s="44"/>
      <c r="P4052" s="44"/>
      <c r="Q4052" s="44"/>
      <c r="R4052" s="44"/>
      <c r="S4052" s="44"/>
      <c r="T4052" s="44"/>
      <c r="U4052" s="44"/>
      <c r="V4052" s="44"/>
      <c r="W4052" s="44"/>
      <c r="X4052" s="44"/>
      <c r="Y4052" s="44"/>
    </row>
    <row r="4053" spans="14:25" ht="15" customHeight="1" x14ac:dyDescent="0.25">
      <c r="N4053" s="44"/>
      <c r="O4053" s="44"/>
      <c r="P4053" s="44"/>
      <c r="Q4053" s="44"/>
      <c r="R4053" s="44"/>
      <c r="S4053" s="44"/>
      <c r="T4053" s="44"/>
      <c r="U4053" s="44"/>
      <c r="V4053" s="44"/>
      <c r="W4053" s="44"/>
      <c r="X4053" s="44"/>
      <c r="Y4053" s="44"/>
    </row>
    <row r="4054" spans="14:25" ht="15" customHeight="1" x14ac:dyDescent="0.25">
      <c r="N4054" s="44"/>
      <c r="O4054" s="44"/>
      <c r="P4054" s="44"/>
      <c r="Q4054" s="44"/>
      <c r="R4054" s="44"/>
      <c r="S4054" s="44"/>
      <c r="T4054" s="44"/>
      <c r="U4054" s="44"/>
      <c r="V4054" s="44"/>
      <c r="W4054" s="44"/>
      <c r="X4054" s="44"/>
      <c r="Y4054" s="44"/>
    </row>
    <row r="4055" spans="14:25" ht="15" customHeight="1" x14ac:dyDescent="0.25">
      <c r="N4055" s="44"/>
      <c r="O4055" s="44"/>
      <c r="P4055" s="44"/>
      <c r="Q4055" s="44"/>
      <c r="R4055" s="44"/>
      <c r="S4055" s="44"/>
      <c r="T4055" s="44"/>
      <c r="U4055" s="44"/>
      <c r="V4055" s="44"/>
      <c r="W4055" s="44"/>
      <c r="X4055" s="44"/>
      <c r="Y4055" s="44"/>
    </row>
    <row r="4056" spans="14:25" ht="15" customHeight="1" x14ac:dyDescent="0.25">
      <c r="N4056" s="44"/>
      <c r="O4056" s="44"/>
      <c r="P4056" s="44"/>
      <c r="Q4056" s="44"/>
      <c r="R4056" s="44"/>
      <c r="S4056" s="44"/>
      <c r="T4056" s="44"/>
      <c r="U4056" s="44"/>
      <c r="V4056" s="44"/>
      <c r="W4056" s="44"/>
      <c r="X4056" s="44"/>
      <c r="Y4056" s="44"/>
    </row>
    <row r="4057" spans="14:25" ht="15" customHeight="1" x14ac:dyDescent="0.25">
      <c r="N4057" s="44"/>
      <c r="O4057" s="44"/>
      <c r="P4057" s="44"/>
      <c r="Q4057" s="44"/>
      <c r="R4057" s="44"/>
      <c r="S4057" s="44"/>
      <c r="T4057" s="44"/>
      <c r="U4057" s="44"/>
      <c r="V4057" s="44"/>
      <c r="W4057" s="44"/>
      <c r="X4057" s="44"/>
      <c r="Y4057" s="44"/>
    </row>
    <row r="4058" spans="14:25" ht="15" customHeight="1" x14ac:dyDescent="0.25">
      <c r="N4058" s="44"/>
      <c r="O4058" s="44"/>
      <c r="P4058" s="44"/>
      <c r="Q4058" s="44"/>
      <c r="R4058" s="44"/>
      <c r="S4058" s="44"/>
      <c r="T4058" s="44"/>
      <c r="U4058" s="44"/>
      <c r="V4058" s="44"/>
      <c r="W4058" s="44"/>
      <c r="X4058" s="44"/>
      <c r="Y4058" s="44"/>
    </row>
    <row r="4059" spans="14:25" ht="15" customHeight="1" x14ac:dyDescent="0.25">
      <c r="N4059" s="44"/>
      <c r="O4059" s="44"/>
      <c r="P4059" s="44"/>
      <c r="Q4059" s="44"/>
      <c r="R4059" s="44"/>
      <c r="S4059" s="44"/>
      <c r="T4059" s="44"/>
      <c r="U4059" s="44"/>
      <c r="V4059" s="44"/>
      <c r="W4059" s="44"/>
      <c r="X4059" s="44"/>
      <c r="Y4059" s="44"/>
    </row>
    <row r="4060" spans="14:25" ht="15" customHeight="1" x14ac:dyDescent="0.25">
      <c r="N4060" s="44"/>
      <c r="O4060" s="44"/>
      <c r="P4060" s="44"/>
      <c r="Q4060" s="44"/>
      <c r="R4060" s="44"/>
      <c r="S4060" s="44"/>
      <c r="T4060" s="44"/>
      <c r="U4060" s="44"/>
      <c r="V4060" s="44"/>
      <c r="W4060" s="44"/>
      <c r="X4060" s="44"/>
      <c r="Y4060" s="44"/>
    </row>
    <row r="4061" spans="14:25" ht="15" customHeight="1" x14ac:dyDescent="0.25">
      <c r="N4061" s="44"/>
      <c r="O4061" s="44"/>
      <c r="P4061" s="44"/>
      <c r="Q4061" s="44"/>
      <c r="R4061" s="44"/>
      <c r="S4061" s="44"/>
      <c r="T4061" s="44"/>
      <c r="U4061" s="44"/>
      <c r="V4061" s="44"/>
      <c r="W4061" s="44"/>
      <c r="X4061" s="44"/>
      <c r="Y4061" s="44"/>
    </row>
    <row r="4062" spans="14:25" ht="15" customHeight="1" x14ac:dyDescent="0.25">
      <c r="N4062" s="44"/>
      <c r="O4062" s="44"/>
      <c r="P4062" s="44"/>
      <c r="Q4062" s="44"/>
      <c r="R4062" s="44"/>
      <c r="S4062" s="44"/>
      <c r="T4062" s="44"/>
      <c r="U4062" s="44"/>
      <c r="V4062" s="44"/>
      <c r="W4062" s="44"/>
      <c r="X4062" s="44"/>
      <c r="Y4062" s="44"/>
    </row>
    <row r="4063" spans="14:25" ht="15" customHeight="1" x14ac:dyDescent="0.25">
      <c r="N4063" s="44"/>
      <c r="O4063" s="44"/>
      <c r="P4063" s="44"/>
      <c r="Q4063" s="44"/>
      <c r="R4063" s="44"/>
      <c r="S4063" s="44"/>
      <c r="T4063" s="44"/>
      <c r="U4063" s="44"/>
      <c r="V4063" s="44"/>
      <c r="W4063" s="44"/>
      <c r="X4063" s="44"/>
      <c r="Y4063" s="44"/>
    </row>
    <row r="4064" spans="14:25" ht="15" customHeight="1" x14ac:dyDescent="0.25">
      <c r="N4064" s="44"/>
      <c r="O4064" s="44"/>
      <c r="P4064" s="44"/>
      <c r="Q4064" s="44"/>
      <c r="R4064" s="44"/>
      <c r="S4064" s="44"/>
      <c r="T4064" s="44"/>
      <c r="U4064" s="44"/>
      <c r="V4064" s="44"/>
      <c r="W4064" s="44"/>
      <c r="X4064" s="44"/>
      <c r="Y4064" s="44"/>
    </row>
    <row r="4065" spans="14:25" ht="15" customHeight="1" x14ac:dyDescent="0.25">
      <c r="N4065" s="44"/>
      <c r="O4065" s="44"/>
      <c r="P4065" s="44"/>
      <c r="Q4065" s="44"/>
      <c r="R4065" s="44"/>
      <c r="S4065" s="44"/>
      <c r="T4065" s="44"/>
      <c r="U4065" s="44"/>
      <c r="V4065" s="44"/>
      <c r="W4065" s="44"/>
      <c r="X4065" s="44"/>
      <c r="Y4065" s="44"/>
    </row>
    <row r="4066" spans="14:25" ht="15" customHeight="1" x14ac:dyDescent="0.25">
      <c r="N4066" s="44"/>
      <c r="O4066" s="44"/>
      <c r="P4066" s="44"/>
      <c r="Q4066" s="44"/>
      <c r="R4066" s="44"/>
      <c r="S4066" s="44"/>
      <c r="T4066" s="44"/>
      <c r="U4066" s="44"/>
      <c r="V4066" s="44"/>
      <c r="W4066" s="44"/>
      <c r="X4066" s="44"/>
      <c r="Y4066" s="44"/>
    </row>
    <row r="4067" spans="14:25" ht="15" customHeight="1" x14ac:dyDescent="0.25">
      <c r="N4067" s="44"/>
      <c r="O4067" s="44"/>
      <c r="P4067" s="44"/>
      <c r="Q4067" s="44"/>
      <c r="R4067" s="44"/>
      <c r="S4067" s="44"/>
      <c r="T4067" s="44"/>
      <c r="U4067" s="44"/>
      <c r="V4067" s="44"/>
      <c r="W4067" s="44"/>
      <c r="X4067" s="44"/>
      <c r="Y4067" s="44"/>
    </row>
    <row r="4068" spans="14:25" ht="15" customHeight="1" x14ac:dyDescent="0.25">
      <c r="N4068" s="44"/>
      <c r="O4068" s="44"/>
      <c r="P4068" s="44"/>
      <c r="Q4068" s="44"/>
      <c r="R4068" s="44"/>
      <c r="S4068" s="44"/>
      <c r="T4068" s="44"/>
      <c r="U4068" s="44"/>
      <c r="V4068" s="44"/>
      <c r="W4068" s="44"/>
      <c r="X4068" s="44"/>
      <c r="Y4068" s="44"/>
    </row>
    <row r="4069" spans="14:25" ht="15" customHeight="1" x14ac:dyDescent="0.25">
      <c r="N4069" s="44"/>
      <c r="O4069" s="44"/>
      <c r="P4069" s="44"/>
      <c r="Q4069" s="44"/>
      <c r="R4069" s="44"/>
      <c r="S4069" s="44"/>
      <c r="T4069" s="44"/>
      <c r="U4069" s="44"/>
      <c r="V4069" s="44"/>
      <c r="W4069" s="44"/>
      <c r="X4069" s="44"/>
      <c r="Y4069" s="44"/>
    </row>
    <row r="4070" spans="14:25" ht="15" customHeight="1" x14ac:dyDescent="0.25">
      <c r="N4070" s="44"/>
      <c r="O4070" s="44"/>
      <c r="P4070" s="44"/>
      <c r="Q4070" s="44"/>
      <c r="R4070" s="44"/>
      <c r="S4070" s="44"/>
      <c r="T4070" s="44"/>
      <c r="U4070" s="44"/>
      <c r="V4070" s="44"/>
      <c r="W4070" s="44"/>
      <c r="X4070" s="44"/>
      <c r="Y4070" s="44"/>
    </row>
    <row r="4071" spans="14:25" ht="15" customHeight="1" x14ac:dyDescent="0.25">
      <c r="N4071" s="44"/>
      <c r="O4071" s="44"/>
      <c r="P4071" s="44"/>
      <c r="Q4071" s="44"/>
      <c r="R4071" s="44"/>
      <c r="S4071" s="44"/>
      <c r="T4071" s="44"/>
      <c r="U4071" s="44"/>
      <c r="V4071" s="44"/>
      <c r="W4071" s="44"/>
      <c r="X4071" s="44"/>
      <c r="Y4071" s="44"/>
    </row>
    <row r="4072" spans="14:25" ht="15" customHeight="1" x14ac:dyDescent="0.25">
      <c r="N4072" s="44"/>
      <c r="O4072" s="44"/>
      <c r="P4072" s="44"/>
      <c r="Q4072" s="44"/>
      <c r="R4072" s="44"/>
      <c r="S4072" s="44"/>
      <c r="T4072" s="44"/>
      <c r="U4072" s="44"/>
      <c r="V4072" s="44"/>
      <c r="W4072" s="44"/>
      <c r="X4072" s="44"/>
      <c r="Y4072" s="44"/>
    </row>
    <row r="4073" spans="14:25" ht="15" customHeight="1" x14ac:dyDescent="0.25">
      <c r="N4073" s="44"/>
      <c r="O4073" s="44"/>
      <c r="P4073" s="44"/>
      <c r="Q4073" s="44"/>
      <c r="R4073" s="44"/>
      <c r="S4073" s="44"/>
      <c r="T4073" s="44"/>
      <c r="U4073" s="44"/>
      <c r="V4073" s="44"/>
      <c r="W4073" s="44"/>
      <c r="X4073" s="44"/>
      <c r="Y4073" s="44"/>
    </row>
    <row r="4074" spans="14:25" ht="15" customHeight="1" x14ac:dyDescent="0.25">
      <c r="N4074" s="44"/>
      <c r="O4074" s="44"/>
      <c r="P4074" s="44"/>
      <c r="Q4074" s="44"/>
      <c r="R4074" s="44"/>
      <c r="S4074" s="44"/>
      <c r="T4074" s="44"/>
      <c r="U4074" s="44"/>
      <c r="V4074" s="44"/>
      <c r="W4074" s="44"/>
      <c r="X4074" s="44"/>
      <c r="Y4074" s="44"/>
    </row>
    <row r="4075" spans="14:25" ht="15" customHeight="1" x14ac:dyDescent="0.25">
      <c r="N4075" s="44"/>
      <c r="O4075" s="44"/>
      <c r="P4075" s="44"/>
      <c r="Q4075" s="44"/>
      <c r="R4075" s="44"/>
      <c r="S4075" s="44"/>
      <c r="T4075" s="44"/>
      <c r="U4075" s="44"/>
      <c r="V4075" s="44"/>
      <c r="W4075" s="44"/>
      <c r="X4075" s="44"/>
      <c r="Y4075" s="44"/>
    </row>
    <row r="4076" spans="14:25" ht="15" customHeight="1" x14ac:dyDescent="0.25">
      <c r="N4076" s="44"/>
      <c r="O4076" s="44"/>
      <c r="P4076" s="44"/>
      <c r="Q4076" s="44"/>
      <c r="R4076" s="44"/>
      <c r="S4076" s="44"/>
      <c r="T4076" s="44"/>
      <c r="U4076" s="44"/>
      <c r="V4076" s="44"/>
      <c r="W4076" s="44"/>
      <c r="X4076" s="44"/>
      <c r="Y4076" s="44"/>
    </row>
    <row r="4077" spans="14:25" ht="15" customHeight="1" x14ac:dyDescent="0.25">
      <c r="N4077" s="44"/>
      <c r="O4077" s="44"/>
      <c r="P4077" s="44"/>
      <c r="Q4077" s="44"/>
      <c r="R4077" s="44"/>
      <c r="S4077" s="44"/>
      <c r="T4077" s="44"/>
      <c r="U4077" s="44"/>
      <c r="V4077" s="44"/>
      <c r="W4077" s="44"/>
      <c r="X4077" s="44"/>
      <c r="Y4077" s="44"/>
    </row>
    <row r="4078" spans="14:25" ht="15" customHeight="1" x14ac:dyDescent="0.25">
      <c r="N4078" s="44"/>
      <c r="O4078" s="44"/>
      <c r="P4078" s="44"/>
      <c r="Q4078" s="44"/>
      <c r="R4078" s="44"/>
      <c r="S4078" s="44"/>
      <c r="T4078" s="44"/>
      <c r="U4078" s="44"/>
      <c r="V4078" s="44"/>
      <c r="W4078" s="44"/>
      <c r="X4078" s="44"/>
      <c r="Y4078" s="44"/>
    </row>
    <row r="4079" spans="14:25" ht="15" customHeight="1" x14ac:dyDescent="0.25">
      <c r="N4079" s="44"/>
      <c r="O4079" s="44"/>
      <c r="P4079" s="44"/>
      <c r="Q4079" s="44"/>
      <c r="R4079" s="44"/>
      <c r="S4079" s="44"/>
      <c r="T4079" s="44"/>
      <c r="U4079" s="44"/>
      <c r="V4079" s="44"/>
      <c r="W4079" s="44"/>
      <c r="X4079" s="44"/>
      <c r="Y4079" s="44"/>
    </row>
    <row r="4080" spans="14:25" ht="15" customHeight="1" x14ac:dyDescent="0.25">
      <c r="N4080" s="44"/>
      <c r="O4080" s="44"/>
      <c r="P4080" s="44"/>
      <c r="Q4080" s="44"/>
      <c r="R4080" s="44"/>
      <c r="S4080" s="44"/>
      <c r="T4080" s="44"/>
      <c r="U4080" s="44"/>
      <c r="V4080" s="44"/>
      <c r="W4080" s="44"/>
      <c r="X4080" s="44"/>
      <c r="Y4080" s="44"/>
    </row>
    <row r="4081" spans="14:25" ht="15" customHeight="1" x14ac:dyDescent="0.25">
      <c r="N4081" s="44"/>
      <c r="O4081" s="44"/>
      <c r="P4081" s="44"/>
      <c r="Q4081" s="44"/>
      <c r="R4081" s="44"/>
      <c r="S4081" s="44"/>
      <c r="T4081" s="44"/>
      <c r="U4081" s="44"/>
      <c r="V4081" s="44"/>
      <c r="W4081" s="44"/>
      <c r="X4081" s="44"/>
      <c r="Y4081" s="44"/>
    </row>
    <row r="4082" spans="14:25" ht="15" customHeight="1" x14ac:dyDescent="0.25">
      <c r="N4082" s="44"/>
      <c r="O4082" s="44"/>
      <c r="P4082" s="44"/>
      <c r="Q4082" s="44"/>
      <c r="R4082" s="44"/>
      <c r="S4082" s="44"/>
      <c r="T4082" s="44"/>
      <c r="U4082" s="44"/>
      <c r="V4082" s="44"/>
      <c r="W4082" s="44"/>
      <c r="X4082" s="44"/>
      <c r="Y4082" s="44"/>
    </row>
    <row r="4083" spans="14:25" ht="15" customHeight="1" x14ac:dyDescent="0.25">
      <c r="N4083" s="44"/>
      <c r="O4083" s="44"/>
      <c r="P4083" s="44"/>
      <c r="Q4083" s="44"/>
      <c r="R4083" s="44"/>
      <c r="S4083" s="44"/>
      <c r="T4083" s="44"/>
      <c r="U4083" s="44"/>
      <c r="V4083" s="44"/>
      <c r="W4083" s="44"/>
      <c r="X4083" s="44"/>
      <c r="Y4083" s="44"/>
    </row>
    <row r="4084" spans="14:25" ht="15" customHeight="1" x14ac:dyDescent="0.25">
      <c r="N4084" s="44"/>
      <c r="O4084" s="44"/>
      <c r="P4084" s="44"/>
      <c r="Q4084" s="44"/>
      <c r="R4084" s="44"/>
      <c r="S4084" s="44"/>
      <c r="T4084" s="44"/>
      <c r="U4084" s="44"/>
      <c r="V4084" s="44"/>
      <c r="W4084" s="44"/>
      <c r="X4084" s="44"/>
      <c r="Y4084" s="44"/>
    </row>
    <row r="4085" spans="14:25" ht="15" customHeight="1" x14ac:dyDescent="0.25">
      <c r="N4085" s="44"/>
      <c r="O4085" s="44"/>
      <c r="P4085" s="44"/>
      <c r="Q4085" s="44"/>
      <c r="R4085" s="44"/>
      <c r="S4085" s="44"/>
      <c r="T4085" s="44"/>
      <c r="U4085" s="44"/>
      <c r="V4085" s="44"/>
      <c r="W4085" s="44"/>
      <c r="X4085" s="44"/>
      <c r="Y4085" s="44"/>
    </row>
    <row r="4086" spans="14:25" ht="15" customHeight="1" x14ac:dyDescent="0.25">
      <c r="N4086" s="44"/>
      <c r="O4086" s="44"/>
      <c r="P4086" s="44"/>
      <c r="Q4086" s="44"/>
      <c r="R4086" s="44"/>
      <c r="S4086" s="44"/>
      <c r="T4086" s="44"/>
      <c r="U4086" s="44"/>
      <c r="V4086" s="44"/>
      <c r="W4086" s="44"/>
      <c r="X4086" s="44"/>
      <c r="Y4086" s="44"/>
    </row>
    <row r="4087" spans="14:25" ht="15" customHeight="1" x14ac:dyDescent="0.25">
      <c r="N4087" s="44"/>
      <c r="O4087" s="44"/>
      <c r="P4087" s="44"/>
      <c r="Q4087" s="44"/>
      <c r="R4087" s="44"/>
      <c r="S4087" s="44"/>
      <c r="T4087" s="44"/>
      <c r="U4087" s="44"/>
      <c r="V4087" s="44"/>
      <c r="W4087" s="44"/>
      <c r="X4087" s="44"/>
      <c r="Y4087" s="44"/>
    </row>
    <row r="4088" spans="14:25" ht="15" customHeight="1" x14ac:dyDescent="0.25">
      <c r="N4088" s="44"/>
      <c r="O4088" s="44"/>
      <c r="P4088" s="44"/>
      <c r="Q4088" s="44"/>
      <c r="R4088" s="44"/>
      <c r="S4088" s="44"/>
      <c r="T4088" s="44"/>
      <c r="U4088" s="44"/>
      <c r="V4088" s="44"/>
      <c r="W4088" s="44"/>
      <c r="X4088" s="44"/>
      <c r="Y4088" s="44"/>
    </row>
    <row r="4089" spans="14:25" ht="15" customHeight="1" x14ac:dyDescent="0.25">
      <c r="N4089" s="44"/>
      <c r="O4089" s="44"/>
      <c r="P4089" s="44"/>
      <c r="Q4089" s="44"/>
      <c r="R4089" s="44"/>
      <c r="S4089" s="44"/>
      <c r="T4089" s="44"/>
      <c r="U4089" s="44"/>
      <c r="V4089" s="44"/>
      <c r="W4089" s="44"/>
      <c r="X4089" s="44"/>
      <c r="Y4089" s="44"/>
    </row>
    <row r="4090" spans="14:25" ht="15" customHeight="1" x14ac:dyDescent="0.25">
      <c r="N4090" s="44"/>
      <c r="O4090" s="44"/>
      <c r="P4090" s="44"/>
      <c r="Q4090" s="44"/>
      <c r="R4090" s="44"/>
      <c r="S4090" s="44"/>
      <c r="T4090" s="44"/>
      <c r="U4090" s="44"/>
      <c r="V4090" s="44"/>
      <c r="W4090" s="44"/>
      <c r="X4090" s="44"/>
      <c r="Y4090" s="44"/>
    </row>
    <row r="4091" spans="14:25" ht="15" customHeight="1" x14ac:dyDescent="0.25">
      <c r="N4091" s="44"/>
      <c r="O4091" s="44"/>
      <c r="P4091" s="44"/>
      <c r="Q4091" s="44"/>
      <c r="R4091" s="44"/>
      <c r="S4091" s="44"/>
      <c r="T4091" s="44"/>
      <c r="U4091" s="44"/>
      <c r="V4091" s="44"/>
      <c r="W4091" s="44"/>
      <c r="X4091" s="44"/>
      <c r="Y4091" s="44"/>
    </row>
    <row r="4092" spans="14:25" ht="15" customHeight="1" x14ac:dyDescent="0.25">
      <c r="N4092" s="44"/>
      <c r="O4092" s="44"/>
      <c r="P4092" s="44"/>
      <c r="Q4092" s="44"/>
      <c r="R4092" s="44"/>
      <c r="S4092" s="44"/>
      <c r="T4092" s="44"/>
      <c r="U4092" s="44"/>
      <c r="V4092" s="44"/>
      <c r="W4092" s="44"/>
      <c r="X4092" s="44"/>
      <c r="Y4092" s="44"/>
    </row>
    <row r="4093" spans="14:25" ht="15" customHeight="1" x14ac:dyDescent="0.25">
      <c r="N4093" s="44"/>
      <c r="O4093" s="44"/>
      <c r="P4093" s="44"/>
      <c r="Q4093" s="44"/>
      <c r="R4093" s="44"/>
      <c r="S4093" s="44"/>
      <c r="T4093" s="44"/>
      <c r="U4093" s="44"/>
      <c r="V4093" s="44"/>
      <c r="W4093" s="44"/>
      <c r="X4093" s="44"/>
      <c r="Y4093" s="44"/>
    </row>
    <row r="4094" spans="14:25" ht="15" customHeight="1" x14ac:dyDescent="0.25">
      <c r="N4094" s="44"/>
      <c r="O4094" s="44"/>
      <c r="P4094" s="44"/>
      <c r="Q4094" s="44"/>
      <c r="R4094" s="44"/>
      <c r="S4094" s="44"/>
      <c r="T4094" s="44"/>
      <c r="U4094" s="44"/>
      <c r="V4094" s="44"/>
      <c r="W4094" s="44"/>
      <c r="X4094" s="44"/>
      <c r="Y4094" s="44"/>
    </row>
    <row r="4095" spans="14:25" ht="15" customHeight="1" x14ac:dyDescent="0.25">
      <c r="N4095" s="44"/>
      <c r="O4095" s="44"/>
      <c r="P4095" s="44"/>
      <c r="Q4095" s="44"/>
      <c r="R4095" s="44"/>
      <c r="S4095" s="44"/>
      <c r="T4095" s="44"/>
      <c r="U4095" s="44"/>
      <c r="V4095" s="44"/>
      <c r="W4095" s="44"/>
      <c r="X4095" s="44"/>
      <c r="Y4095" s="44"/>
    </row>
    <row r="4096" spans="14:25" ht="15" customHeight="1" x14ac:dyDescent="0.25">
      <c r="N4096" s="44"/>
      <c r="O4096" s="44"/>
      <c r="P4096" s="44"/>
      <c r="Q4096" s="44"/>
      <c r="R4096" s="44"/>
      <c r="S4096" s="44"/>
      <c r="T4096" s="44"/>
      <c r="U4096" s="44"/>
      <c r="V4096" s="44"/>
      <c r="W4096" s="44"/>
      <c r="X4096" s="44"/>
      <c r="Y4096" s="44"/>
    </row>
    <row r="4097" spans="14:25" ht="15" customHeight="1" x14ac:dyDescent="0.25">
      <c r="N4097" s="44"/>
      <c r="O4097" s="44"/>
      <c r="P4097" s="44"/>
      <c r="Q4097" s="44"/>
      <c r="R4097" s="44"/>
      <c r="S4097" s="44"/>
      <c r="T4097" s="44"/>
      <c r="U4097" s="44"/>
      <c r="V4097" s="44"/>
      <c r="W4097" s="44"/>
      <c r="X4097" s="44"/>
      <c r="Y4097" s="44"/>
    </row>
    <row r="4098" spans="14:25" ht="15" customHeight="1" x14ac:dyDescent="0.25">
      <c r="N4098" s="44"/>
      <c r="O4098" s="44"/>
      <c r="P4098" s="44"/>
      <c r="Q4098" s="44"/>
      <c r="R4098" s="44"/>
      <c r="S4098" s="44"/>
      <c r="T4098" s="44"/>
      <c r="U4098" s="44"/>
      <c r="V4098" s="44"/>
      <c r="W4098" s="44"/>
      <c r="X4098" s="44"/>
      <c r="Y4098" s="44"/>
    </row>
    <row r="4099" spans="14:25" ht="15" customHeight="1" x14ac:dyDescent="0.25">
      <c r="N4099" s="44"/>
      <c r="O4099" s="44"/>
      <c r="P4099" s="44"/>
      <c r="Q4099" s="44"/>
      <c r="R4099" s="44"/>
      <c r="S4099" s="44"/>
      <c r="T4099" s="44"/>
      <c r="U4099" s="44"/>
      <c r="V4099" s="44"/>
      <c r="W4099" s="44"/>
      <c r="X4099" s="44"/>
      <c r="Y4099" s="44"/>
    </row>
    <row r="4100" spans="14:25" ht="15" customHeight="1" x14ac:dyDescent="0.25">
      <c r="N4100" s="44"/>
      <c r="O4100" s="44"/>
      <c r="P4100" s="44"/>
      <c r="Q4100" s="44"/>
      <c r="R4100" s="44"/>
      <c r="S4100" s="44"/>
      <c r="T4100" s="44"/>
      <c r="U4100" s="44"/>
      <c r="V4100" s="44"/>
      <c r="W4100" s="44"/>
      <c r="X4100" s="44"/>
      <c r="Y4100" s="44"/>
    </row>
    <row r="4101" spans="14:25" ht="15" customHeight="1" x14ac:dyDescent="0.25">
      <c r="N4101" s="44"/>
      <c r="O4101" s="44"/>
      <c r="P4101" s="44"/>
      <c r="Q4101" s="44"/>
      <c r="R4101" s="44"/>
      <c r="S4101" s="44"/>
      <c r="T4101" s="44"/>
      <c r="U4101" s="44"/>
      <c r="V4101" s="44"/>
      <c r="W4101" s="44"/>
      <c r="X4101" s="44"/>
      <c r="Y4101" s="44"/>
    </row>
    <row r="4102" spans="14:25" ht="15" customHeight="1" x14ac:dyDescent="0.25">
      <c r="N4102" s="44"/>
      <c r="O4102" s="44"/>
      <c r="P4102" s="44"/>
      <c r="Q4102" s="44"/>
      <c r="R4102" s="44"/>
      <c r="S4102" s="44"/>
      <c r="T4102" s="44"/>
      <c r="U4102" s="44"/>
      <c r="V4102" s="44"/>
      <c r="W4102" s="44"/>
      <c r="X4102" s="44"/>
      <c r="Y4102" s="44"/>
    </row>
    <row r="4103" spans="14:25" ht="15" customHeight="1" x14ac:dyDescent="0.25">
      <c r="N4103" s="44"/>
      <c r="O4103" s="44"/>
      <c r="P4103" s="44"/>
      <c r="Q4103" s="44"/>
      <c r="R4103" s="44"/>
      <c r="S4103" s="44"/>
      <c r="T4103" s="44"/>
      <c r="U4103" s="44"/>
      <c r="V4103" s="44"/>
      <c r="W4103" s="44"/>
      <c r="X4103" s="44"/>
      <c r="Y4103" s="44"/>
    </row>
    <row r="4104" spans="14:25" ht="15" customHeight="1" x14ac:dyDescent="0.25">
      <c r="N4104" s="44"/>
      <c r="O4104" s="44"/>
      <c r="P4104" s="44"/>
      <c r="Q4104" s="44"/>
      <c r="R4104" s="44"/>
      <c r="S4104" s="44"/>
      <c r="T4104" s="44"/>
      <c r="U4104" s="44"/>
      <c r="V4104" s="44"/>
      <c r="W4104" s="44"/>
      <c r="X4104" s="44"/>
      <c r="Y4104" s="44"/>
    </row>
    <row r="4105" spans="14:25" ht="15" customHeight="1" x14ac:dyDescent="0.25">
      <c r="N4105" s="44"/>
      <c r="O4105" s="44"/>
      <c r="P4105" s="44"/>
      <c r="Q4105" s="44"/>
      <c r="R4105" s="44"/>
      <c r="S4105" s="44"/>
      <c r="T4105" s="44"/>
      <c r="U4105" s="44"/>
      <c r="V4105" s="44"/>
      <c r="W4105" s="44"/>
      <c r="X4105" s="44"/>
      <c r="Y4105" s="44"/>
    </row>
    <row r="4106" spans="14:25" ht="15" customHeight="1" x14ac:dyDescent="0.25">
      <c r="N4106" s="44"/>
      <c r="O4106" s="44"/>
      <c r="P4106" s="44"/>
      <c r="Q4106" s="44"/>
      <c r="R4106" s="44"/>
      <c r="S4106" s="44"/>
      <c r="T4106" s="44"/>
      <c r="U4106" s="44"/>
      <c r="V4106" s="44"/>
      <c r="W4106" s="44"/>
      <c r="X4106" s="44"/>
      <c r="Y4106" s="44"/>
    </row>
    <row r="4107" spans="14:25" ht="15" customHeight="1" x14ac:dyDescent="0.25">
      <c r="N4107" s="44"/>
      <c r="O4107" s="44"/>
      <c r="P4107" s="44"/>
      <c r="Q4107" s="44"/>
      <c r="R4107" s="44"/>
      <c r="S4107" s="44"/>
      <c r="T4107" s="44"/>
      <c r="U4107" s="44"/>
      <c r="V4107" s="44"/>
      <c r="W4107" s="44"/>
      <c r="X4107" s="44"/>
      <c r="Y4107" s="44"/>
    </row>
    <row r="4108" spans="14:25" ht="15" customHeight="1" x14ac:dyDescent="0.25">
      <c r="N4108" s="44"/>
      <c r="O4108" s="44"/>
      <c r="P4108" s="44"/>
      <c r="Q4108" s="44"/>
      <c r="R4108" s="44"/>
      <c r="S4108" s="44"/>
      <c r="T4108" s="44"/>
      <c r="U4108" s="44"/>
      <c r="V4108" s="44"/>
      <c r="W4108" s="44"/>
      <c r="X4108" s="44"/>
      <c r="Y4108" s="44"/>
    </row>
    <row r="4109" spans="14:25" ht="15" customHeight="1" x14ac:dyDescent="0.25">
      <c r="N4109" s="44"/>
      <c r="O4109" s="44"/>
      <c r="P4109" s="44"/>
      <c r="Q4109" s="44"/>
      <c r="R4109" s="44"/>
      <c r="S4109" s="44"/>
      <c r="T4109" s="44"/>
      <c r="U4109" s="44"/>
      <c r="V4109" s="44"/>
      <c r="W4109" s="44"/>
      <c r="X4109" s="44"/>
      <c r="Y4109" s="44"/>
    </row>
    <row r="4110" spans="14:25" ht="15" customHeight="1" x14ac:dyDescent="0.25">
      <c r="N4110" s="44"/>
      <c r="O4110" s="44"/>
      <c r="P4110" s="44"/>
      <c r="Q4110" s="44"/>
      <c r="R4110" s="44"/>
      <c r="S4110" s="44"/>
      <c r="T4110" s="44"/>
      <c r="U4110" s="44"/>
      <c r="V4110" s="44"/>
      <c r="W4110" s="44"/>
      <c r="X4110" s="44"/>
      <c r="Y4110" s="44"/>
    </row>
    <row r="4111" spans="14:25" ht="15" customHeight="1" x14ac:dyDescent="0.25">
      <c r="N4111" s="44"/>
      <c r="O4111" s="44"/>
      <c r="P4111" s="44"/>
      <c r="Q4111" s="44"/>
      <c r="R4111" s="44"/>
      <c r="S4111" s="44"/>
      <c r="T4111" s="44"/>
      <c r="U4111" s="44"/>
      <c r="V4111" s="44"/>
      <c r="W4111" s="44"/>
      <c r="X4111" s="44"/>
      <c r="Y4111" s="44"/>
    </row>
    <row r="4112" spans="14:25" ht="15" customHeight="1" x14ac:dyDescent="0.25">
      <c r="N4112" s="44"/>
      <c r="O4112" s="44"/>
      <c r="P4112" s="44"/>
      <c r="Q4112" s="44"/>
      <c r="R4112" s="44"/>
      <c r="S4112" s="44"/>
      <c r="T4112" s="44"/>
      <c r="U4112" s="44"/>
      <c r="V4112" s="44"/>
      <c r="W4112" s="44"/>
      <c r="X4112" s="44"/>
      <c r="Y4112" s="44"/>
    </row>
    <row r="4113" spans="14:25" ht="15" customHeight="1" x14ac:dyDescent="0.25">
      <c r="N4113" s="44"/>
      <c r="O4113" s="44"/>
      <c r="P4113" s="44"/>
      <c r="Q4113" s="44"/>
      <c r="R4113" s="44"/>
      <c r="S4113" s="44"/>
      <c r="T4113" s="44"/>
      <c r="U4113" s="44"/>
      <c r="V4113" s="44"/>
      <c r="W4113" s="44"/>
      <c r="X4113" s="44"/>
      <c r="Y4113" s="44"/>
    </row>
    <row r="4114" spans="14:25" ht="15" customHeight="1" x14ac:dyDescent="0.25">
      <c r="N4114" s="44"/>
      <c r="O4114" s="44"/>
      <c r="P4114" s="44"/>
      <c r="Q4114" s="44"/>
      <c r="R4114" s="44"/>
      <c r="S4114" s="44"/>
      <c r="T4114" s="44"/>
      <c r="U4114" s="44"/>
      <c r="V4114" s="44"/>
      <c r="W4114" s="44"/>
      <c r="X4114" s="44"/>
      <c r="Y4114" s="44"/>
    </row>
    <row r="4115" spans="14:25" ht="15" customHeight="1" x14ac:dyDescent="0.25">
      <c r="N4115" s="44"/>
      <c r="O4115" s="44"/>
      <c r="P4115" s="44"/>
      <c r="Q4115" s="44"/>
      <c r="R4115" s="44"/>
      <c r="S4115" s="44"/>
      <c r="T4115" s="44"/>
      <c r="U4115" s="44"/>
      <c r="V4115" s="44"/>
      <c r="W4115" s="44"/>
      <c r="X4115" s="44"/>
      <c r="Y4115" s="44"/>
    </row>
    <row r="4116" spans="14:25" ht="15" customHeight="1" x14ac:dyDescent="0.25">
      <c r="N4116" s="44"/>
      <c r="O4116" s="44"/>
      <c r="P4116" s="44"/>
      <c r="Q4116" s="44"/>
      <c r="R4116" s="44"/>
      <c r="S4116" s="44"/>
      <c r="T4116" s="44"/>
      <c r="U4116" s="44"/>
      <c r="V4116" s="44"/>
      <c r="W4116" s="44"/>
      <c r="X4116" s="44"/>
      <c r="Y4116" s="44"/>
    </row>
    <row r="4117" spans="14:25" ht="15" customHeight="1" x14ac:dyDescent="0.25">
      <c r="N4117" s="44"/>
      <c r="O4117" s="44"/>
      <c r="P4117" s="44"/>
      <c r="Q4117" s="44"/>
      <c r="R4117" s="44"/>
      <c r="S4117" s="44"/>
      <c r="T4117" s="44"/>
      <c r="U4117" s="44"/>
      <c r="V4117" s="44"/>
      <c r="W4117" s="44"/>
      <c r="X4117" s="44"/>
      <c r="Y4117" s="44"/>
    </row>
    <row r="4118" spans="14:25" ht="15" customHeight="1" x14ac:dyDescent="0.25">
      <c r="N4118" s="44"/>
      <c r="O4118" s="44"/>
      <c r="P4118" s="44"/>
      <c r="Q4118" s="44"/>
      <c r="R4118" s="44"/>
      <c r="S4118" s="44"/>
      <c r="T4118" s="44"/>
      <c r="U4118" s="44"/>
      <c r="V4118" s="44"/>
      <c r="W4118" s="44"/>
      <c r="X4118" s="44"/>
      <c r="Y4118" s="44"/>
    </row>
    <row r="4119" spans="14:25" ht="15" customHeight="1" x14ac:dyDescent="0.25">
      <c r="N4119" s="44"/>
      <c r="O4119" s="44"/>
      <c r="P4119" s="44"/>
      <c r="Q4119" s="44"/>
      <c r="R4119" s="44"/>
      <c r="S4119" s="44"/>
      <c r="T4119" s="44"/>
      <c r="U4119" s="44"/>
      <c r="V4119" s="44"/>
      <c r="W4119" s="44"/>
      <c r="X4119" s="44"/>
      <c r="Y4119" s="44"/>
    </row>
    <row r="4120" spans="14:25" ht="15" customHeight="1" x14ac:dyDescent="0.25">
      <c r="N4120" s="44"/>
      <c r="O4120" s="44"/>
      <c r="P4120" s="44"/>
      <c r="Q4120" s="44"/>
      <c r="R4120" s="44"/>
      <c r="S4120" s="44"/>
      <c r="T4120" s="44"/>
      <c r="U4120" s="44"/>
      <c r="V4120" s="44"/>
      <c r="W4120" s="44"/>
      <c r="X4120" s="44"/>
      <c r="Y4120" s="44"/>
    </row>
    <row r="4121" spans="14:25" ht="15" customHeight="1" x14ac:dyDescent="0.25">
      <c r="N4121" s="44"/>
      <c r="O4121" s="44"/>
      <c r="P4121" s="44"/>
      <c r="Q4121" s="44"/>
      <c r="R4121" s="44"/>
      <c r="S4121" s="44"/>
      <c r="T4121" s="44"/>
      <c r="U4121" s="44"/>
      <c r="V4121" s="44"/>
      <c r="W4121" s="44"/>
      <c r="X4121" s="44"/>
      <c r="Y4121" s="44"/>
    </row>
    <row r="4122" spans="14:25" ht="15" customHeight="1" x14ac:dyDescent="0.25">
      <c r="N4122" s="44"/>
      <c r="O4122" s="44"/>
      <c r="P4122" s="44"/>
      <c r="Q4122" s="44"/>
      <c r="R4122" s="44"/>
      <c r="S4122" s="44"/>
      <c r="T4122" s="44"/>
      <c r="U4122" s="44"/>
      <c r="V4122" s="44"/>
      <c r="W4122" s="44"/>
      <c r="X4122" s="44"/>
      <c r="Y4122" s="44"/>
    </row>
    <row r="4123" spans="14:25" ht="15" customHeight="1" x14ac:dyDescent="0.25">
      <c r="N4123" s="44"/>
      <c r="O4123" s="44"/>
      <c r="P4123" s="44"/>
      <c r="Q4123" s="44"/>
      <c r="R4123" s="44"/>
      <c r="S4123" s="44"/>
      <c r="T4123" s="44"/>
      <c r="U4123" s="44"/>
      <c r="V4123" s="44"/>
      <c r="W4123" s="44"/>
      <c r="X4123" s="44"/>
      <c r="Y4123" s="44"/>
    </row>
    <row r="4124" spans="14:25" ht="15" customHeight="1" x14ac:dyDescent="0.25">
      <c r="N4124" s="44"/>
      <c r="O4124" s="44"/>
      <c r="P4124" s="44"/>
      <c r="Q4124" s="44"/>
      <c r="R4124" s="44"/>
      <c r="S4124" s="44"/>
      <c r="T4124" s="44"/>
      <c r="U4124" s="44"/>
      <c r="V4124" s="44"/>
      <c r="W4124" s="44"/>
      <c r="X4124" s="44"/>
      <c r="Y4124" s="44"/>
    </row>
    <row r="4125" spans="14:25" ht="15" customHeight="1" x14ac:dyDescent="0.25">
      <c r="N4125" s="44"/>
      <c r="O4125" s="44"/>
      <c r="P4125" s="44"/>
      <c r="Q4125" s="44"/>
      <c r="R4125" s="44"/>
      <c r="S4125" s="44"/>
      <c r="T4125" s="44"/>
      <c r="U4125" s="44"/>
      <c r="V4125" s="44"/>
      <c r="W4125" s="44"/>
      <c r="X4125" s="44"/>
      <c r="Y4125" s="44"/>
    </row>
    <row r="4126" spans="14:25" ht="15" customHeight="1" x14ac:dyDescent="0.25">
      <c r="N4126" s="44"/>
      <c r="O4126" s="44"/>
      <c r="P4126" s="44"/>
      <c r="Q4126" s="44"/>
      <c r="R4126" s="44"/>
      <c r="S4126" s="44"/>
      <c r="T4126" s="44"/>
      <c r="U4126" s="44"/>
      <c r="V4126" s="44"/>
      <c r="W4126" s="44"/>
      <c r="X4126" s="44"/>
      <c r="Y4126" s="44"/>
    </row>
    <row r="4127" spans="14:25" ht="15" customHeight="1" x14ac:dyDescent="0.25">
      <c r="N4127" s="44"/>
      <c r="O4127" s="44"/>
      <c r="P4127" s="44"/>
      <c r="Q4127" s="44"/>
      <c r="R4127" s="44"/>
      <c r="S4127" s="44"/>
      <c r="T4127" s="44"/>
      <c r="U4127" s="44"/>
      <c r="V4127" s="44"/>
      <c r="W4127" s="44"/>
      <c r="X4127" s="44"/>
      <c r="Y4127" s="44"/>
    </row>
    <row r="4128" spans="14:25" ht="15" customHeight="1" x14ac:dyDescent="0.25">
      <c r="N4128" s="44"/>
      <c r="O4128" s="44"/>
      <c r="P4128" s="44"/>
      <c r="Q4128" s="44"/>
      <c r="R4128" s="44"/>
      <c r="S4128" s="44"/>
      <c r="T4128" s="44"/>
      <c r="U4128" s="44"/>
      <c r="V4128" s="44"/>
      <c r="W4128" s="44"/>
      <c r="X4128" s="44"/>
      <c r="Y4128" s="44"/>
    </row>
    <row r="4129" spans="14:25" ht="15" customHeight="1" x14ac:dyDescent="0.25">
      <c r="N4129" s="44"/>
      <c r="O4129" s="44"/>
      <c r="P4129" s="44"/>
      <c r="Q4129" s="44"/>
      <c r="R4129" s="44"/>
      <c r="S4129" s="44"/>
      <c r="T4129" s="44"/>
      <c r="U4129" s="44"/>
      <c r="V4129" s="44"/>
      <c r="W4129" s="44"/>
      <c r="X4129" s="44"/>
      <c r="Y4129" s="44"/>
    </row>
    <row r="4130" spans="14:25" ht="15" customHeight="1" x14ac:dyDescent="0.25">
      <c r="N4130" s="44"/>
      <c r="O4130" s="44"/>
      <c r="P4130" s="44"/>
      <c r="Q4130" s="44"/>
      <c r="R4130" s="44"/>
      <c r="S4130" s="44"/>
      <c r="T4130" s="44"/>
      <c r="U4130" s="44"/>
      <c r="V4130" s="44"/>
      <c r="W4130" s="44"/>
      <c r="X4130" s="44"/>
      <c r="Y4130" s="44"/>
    </row>
    <row r="4131" spans="14:25" ht="15" customHeight="1" x14ac:dyDescent="0.25">
      <c r="N4131" s="44"/>
      <c r="O4131" s="44"/>
      <c r="P4131" s="44"/>
      <c r="Q4131" s="44"/>
      <c r="R4131" s="44"/>
      <c r="S4131" s="44"/>
      <c r="T4131" s="44"/>
      <c r="U4131" s="44"/>
      <c r="V4131" s="44"/>
      <c r="W4131" s="44"/>
      <c r="X4131" s="44"/>
      <c r="Y4131" s="44"/>
    </row>
    <row r="4132" spans="14:25" ht="15" customHeight="1" x14ac:dyDescent="0.25">
      <c r="N4132" s="44"/>
      <c r="O4132" s="44"/>
      <c r="P4132" s="44"/>
      <c r="Q4132" s="44"/>
      <c r="R4132" s="44"/>
      <c r="S4132" s="44"/>
      <c r="T4132" s="44"/>
      <c r="U4132" s="44"/>
      <c r="V4132" s="44"/>
      <c r="W4132" s="44"/>
      <c r="X4132" s="44"/>
      <c r="Y4132" s="44"/>
    </row>
    <row r="4133" spans="14:25" ht="15" customHeight="1" x14ac:dyDescent="0.25">
      <c r="N4133" s="44"/>
      <c r="O4133" s="44"/>
      <c r="P4133" s="44"/>
      <c r="Q4133" s="44"/>
      <c r="R4133" s="44"/>
      <c r="S4133" s="44"/>
      <c r="T4133" s="44"/>
      <c r="U4133" s="44"/>
      <c r="V4133" s="44"/>
      <c r="W4133" s="44"/>
      <c r="X4133" s="44"/>
      <c r="Y4133" s="44"/>
    </row>
    <row r="4134" spans="14:25" ht="15" customHeight="1" x14ac:dyDescent="0.25">
      <c r="N4134" s="44"/>
      <c r="O4134" s="44"/>
      <c r="P4134" s="44"/>
      <c r="Q4134" s="44"/>
      <c r="R4134" s="44"/>
      <c r="S4134" s="44"/>
      <c r="T4134" s="44"/>
      <c r="U4134" s="44"/>
      <c r="V4134" s="44"/>
      <c r="W4134" s="44"/>
      <c r="X4134" s="44"/>
      <c r="Y4134" s="44"/>
    </row>
    <row r="4135" spans="14:25" ht="15" customHeight="1" x14ac:dyDescent="0.25">
      <c r="N4135" s="44"/>
      <c r="O4135" s="44"/>
      <c r="P4135" s="44"/>
      <c r="Q4135" s="44"/>
      <c r="R4135" s="44"/>
      <c r="S4135" s="44"/>
      <c r="T4135" s="44"/>
      <c r="U4135" s="44"/>
      <c r="V4135" s="44"/>
      <c r="W4135" s="44"/>
      <c r="X4135" s="44"/>
      <c r="Y4135" s="44"/>
    </row>
    <row r="4136" spans="14:25" ht="15" customHeight="1" x14ac:dyDescent="0.25">
      <c r="N4136" s="44"/>
      <c r="O4136" s="44"/>
      <c r="P4136" s="44"/>
      <c r="Q4136" s="44"/>
      <c r="R4136" s="44"/>
      <c r="S4136" s="44"/>
      <c r="T4136" s="44"/>
      <c r="U4136" s="44"/>
      <c r="V4136" s="44"/>
      <c r="W4136" s="44"/>
      <c r="X4136" s="44"/>
      <c r="Y4136" s="44"/>
    </row>
    <row r="4137" spans="14:25" ht="15" customHeight="1" x14ac:dyDescent="0.25">
      <c r="N4137" s="44"/>
      <c r="O4137" s="44"/>
      <c r="P4137" s="44"/>
      <c r="Q4137" s="44"/>
      <c r="R4137" s="44"/>
      <c r="S4137" s="44"/>
      <c r="T4137" s="44"/>
      <c r="U4137" s="44"/>
      <c r="V4137" s="44"/>
      <c r="W4137" s="44"/>
      <c r="X4137" s="44"/>
      <c r="Y4137" s="44"/>
    </row>
    <row r="4138" spans="14:25" ht="15" customHeight="1" x14ac:dyDescent="0.25">
      <c r="N4138" s="44"/>
      <c r="O4138" s="44"/>
      <c r="P4138" s="44"/>
      <c r="Q4138" s="44"/>
      <c r="R4138" s="44"/>
      <c r="S4138" s="44"/>
      <c r="T4138" s="44"/>
      <c r="U4138" s="44"/>
      <c r="V4138" s="44"/>
      <c r="W4138" s="44"/>
      <c r="X4138" s="44"/>
      <c r="Y4138" s="44"/>
    </row>
    <row r="4139" spans="14:25" ht="15" customHeight="1" x14ac:dyDescent="0.25">
      <c r="N4139" s="44"/>
      <c r="O4139" s="44"/>
      <c r="P4139" s="44"/>
      <c r="Q4139" s="44"/>
      <c r="R4139" s="44"/>
      <c r="S4139" s="44"/>
      <c r="T4139" s="44"/>
      <c r="U4139" s="44"/>
      <c r="V4139" s="44"/>
      <c r="W4139" s="44"/>
      <c r="X4139" s="44"/>
      <c r="Y4139" s="44"/>
    </row>
    <row r="4140" spans="14:25" ht="15" customHeight="1" x14ac:dyDescent="0.25">
      <c r="N4140" s="44"/>
      <c r="O4140" s="44"/>
      <c r="P4140" s="44"/>
      <c r="Q4140" s="44"/>
      <c r="R4140" s="44"/>
      <c r="S4140" s="44"/>
      <c r="T4140" s="44"/>
      <c r="U4140" s="44"/>
      <c r="V4140" s="44"/>
      <c r="W4140" s="44"/>
      <c r="X4140" s="44"/>
      <c r="Y4140" s="44"/>
    </row>
    <row r="4141" spans="14:25" ht="15" customHeight="1" x14ac:dyDescent="0.25">
      <c r="N4141" s="44"/>
      <c r="O4141" s="44"/>
      <c r="P4141" s="44"/>
      <c r="Q4141" s="44"/>
      <c r="R4141" s="44"/>
      <c r="S4141" s="44"/>
      <c r="T4141" s="44"/>
      <c r="U4141" s="44"/>
      <c r="V4141" s="44"/>
      <c r="W4141" s="44"/>
      <c r="X4141" s="44"/>
      <c r="Y4141" s="44"/>
    </row>
    <row r="4142" spans="14:25" ht="15" customHeight="1" x14ac:dyDescent="0.25">
      <c r="N4142" s="44"/>
      <c r="O4142" s="44"/>
      <c r="P4142" s="44"/>
      <c r="Q4142" s="44"/>
      <c r="R4142" s="44"/>
      <c r="S4142" s="44"/>
      <c r="T4142" s="44"/>
      <c r="U4142" s="44"/>
      <c r="V4142" s="44"/>
      <c r="W4142" s="44"/>
      <c r="X4142" s="44"/>
      <c r="Y4142" s="44"/>
    </row>
    <row r="4143" spans="14:25" ht="15" customHeight="1" x14ac:dyDescent="0.25">
      <c r="N4143" s="44"/>
      <c r="O4143" s="44"/>
      <c r="P4143" s="44"/>
      <c r="Q4143" s="44"/>
      <c r="R4143" s="44"/>
      <c r="S4143" s="44"/>
      <c r="T4143" s="44"/>
      <c r="U4143" s="44"/>
      <c r="V4143" s="44"/>
      <c r="W4143" s="44"/>
      <c r="X4143" s="44"/>
      <c r="Y4143" s="44"/>
    </row>
    <row r="4144" spans="14:25" ht="15" customHeight="1" x14ac:dyDescent="0.25">
      <c r="N4144" s="44"/>
      <c r="O4144" s="44"/>
      <c r="P4144" s="44"/>
      <c r="Q4144" s="44"/>
      <c r="R4144" s="44"/>
      <c r="S4144" s="44"/>
      <c r="T4144" s="44"/>
      <c r="U4144" s="44"/>
      <c r="V4144" s="44"/>
      <c r="W4144" s="44"/>
      <c r="X4144" s="44"/>
      <c r="Y4144" s="44"/>
    </row>
    <row r="4145" spans="14:25" ht="15" customHeight="1" x14ac:dyDescent="0.25">
      <c r="N4145" s="44"/>
      <c r="O4145" s="44"/>
      <c r="P4145" s="44"/>
      <c r="Q4145" s="44"/>
      <c r="R4145" s="44"/>
      <c r="S4145" s="44"/>
      <c r="T4145" s="44"/>
      <c r="U4145" s="44"/>
      <c r="V4145" s="44"/>
      <c r="W4145" s="44"/>
      <c r="X4145" s="44"/>
      <c r="Y4145" s="44"/>
    </row>
    <row r="4146" spans="14:25" ht="15" customHeight="1" x14ac:dyDescent="0.25">
      <c r="N4146" s="44"/>
      <c r="O4146" s="44"/>
      <c r="P4146" s="44"/>
      <c r="Q4146" s="44"/>
      <c r="R4146" s="44"/>
      <c r="S4146" s="44"/>
      <c r="T4146" s="44"/>
      <c r="U4146" s="44"/>
      <c r="V4146" s="44"/>
      <c r="W4146" s="44"/>
      <c r="X4146" s="44"/>
      <c r="Y4146" s="44"/>
    </row>
    <row r="4147" spans="14:25" ht="15" customHeight="1" x14ac:dyDescent="0.25">
      <c r="N4147" s="44"/>
      <c r="O4147" s="44"/>
      <c r="P4147" s="44"/>
      <c r="Q4147" s="44"/>
      <c r="R4147" s="44"/>
      <c r="S4147" s="44"/>
      <c r="T4147" s="44"/>
      <c r="U4147" s="44"/>
      <c r="V4147" s="44"/>
      <c r="W4147" s="44"/>
      <c r="X4147" s="44"/>
      <c r="Y4147" s="44"/>
    </row>
    <row r="4148" spans="14:25" ht="15" customHeight="1" x14ac:dyDescent="0.25">
      <c r="N4148" s="44"/>
      <c r="O4148" s="44"/>
      <c r="P4148" s="44"/>
      <c r="Q4148" s="44"/>
      <c r="R4148" s="44"/>
      <c r="S4148" s="44"/>
      <c r="T4148" s="44"/>
      <c r="U4148" s="44"/>
      <c r="V4148" s="44"/>
      <c r="W4148" s="44"/>
      <c r="X4148" s="44"/>
      <c r="Y4148" s="44"/>
    </row>
    <row r="4149" spans="14:25" ht="15" customHeight="1" x14ac:dyDescent="0.25">
      <c r="N4149" s="44"/>
      <c r="O4149" s="44"/>
      <c r="P4149" s="44"/>
      <c r="Q4149" s="44"/>
      <c r="R4149" s="44"/>
      <c r="S4149" s="44"/>
      <c r="T4149" s="44"/>
      <c r="U4149" s="44"/>
      <c r="V4149" s="44"/>
      <c r="W4149" s="44"/>
      <c r="X4149" s="44"/>
      <c r="Y4149" s="44"/>
    </row>
    <row r="4150" spans="14:25" ht="15" customHeight="1" x14ac:dyDescent="0.25">
      <c r="N4150" s="44"/>
      <c r="O4150" s="44"/>
      <c r="P4150" s="44"/>
      <c r="Q4150" s="44"/>
      <c r="R4150" s="44"/>
      <c r="S4150" s="44"/>
      <c r="T4150" s="44"/>
      <c r="U4150" s="44"/>
      <c r="V4150" s="44"/>
      <c r="W4150" s="44"/>
      <c r="X4150" s="44"/>
      <c r="Y4150" s="44"/>
    </row>
    <row r="4151" spans="14:25" ht="15" customHeight="1" x14ac:dyDescent="0.25">
      <c r="N4151" s="44"/>
      <c r="O4151" s="44"/>
      <c r="P4151" s="44"/>
      <c r="Q4151" s="44"/>
      <c r="R4151" s="44"/>
      <c r="S4151" s="44"/>
      <c r="T4151" s="44"/>
      <c r="U4151" s="44"/>
      <c r="V4151" s="44"/>
      <c r="W4151" s="44"/>
      <c r="X4151" s="44"/>
      <c r="Y4151" s="44"/>
    </row>
    <row r="4152" spans="14:25" ht="15" customHeight="1" x14ac:dyDescent="0.25">
      <c r="N4152" s="44"/>
      <c r="O4152" s="44"/>
      <c r="P4152" s="44"/>
      <c r="Q4152" s="44"/>
      <c r="R4152" s="44"/>
      <c r="S4152" s="44"/>
      <c r="T4152" s="44"/>
      <c r="U4152" s="44"/>
      <c r="V4152" s="44"/>
      <c r="W4152" s="44"/>
      <c r="X4152" s="44"/>
      <c r="Y4152" s="44"/>
    </row>
    <row r="4153" spans="14:25" ht="15" customHeight="1" x14ac:dyDescent="0.25">
      <c r="N4153" s="44"/>
      <c r="O4153" s="44"/>
      <c r="P4153" s="44"/>
      <c r="Q4153" s="44"/>
      <c r="R4153" s="44"/>
      <c r="S4153" s="44"/>
      <c r="T4153" s="44"/>
      <c r="U4153" s="44"/>
      <c r="V4153" s="44"/>
      <c r="W4153" s="44"/>
      <c r="X4153" s="44"/>
      <c r="Y4153" s="44"/>
    </row>
    <row r="4154" spans="14:25" ht="15" customHeight="1" x14ac:dyDescent="0.25">
      <c r="N4154" s="44"/>
      <c r="O4154" s="44"/>
      <c r="P4154" s="44"/>
      <c r="Q4154" s="44"/>
      <c r="R4154" s="44"/>
      <c r="S4154" s="44"/>
      <c r="T4154" s="44"/>
      <c r="U4154" s="44"/>
      <c r="V4154" s="44"/>
      <c r="W4154" s="44"/>
      <c r="X4154" s="44"/>
      <c r="Y4154" s="44"/>
    </row>
    <row r="4155" spans="14:25" ht="15" customHeight="1" x14ac:dyDescent="0.25">
      <c r="N4155" s="44"/>
      <c r="O4155" s="44"/>
      <c r="P4155" s="44"/>
      <c r="Q4155" s="44"/>
      <c r="R4155" s="44"/>
      <c r="S4155" s="44"/>
      <c r="T4155" s="44"/>
      <c r="U4155" s="44"/>
      <c r="V4155" s="44"/>
      <c r="W4155" s="44"/>
      <c r="X4155" s="44"/>
      <c r="Y4155" s="44"/>
    </row>
    <row r="4156" spans="14:25" ht="15" customHeight="1" x14ac:dyDescent="0.25">
      <c r="N4156" s="44"/>
      <c r="O4156" s="44"/>
      <c r="P4156" s="44"/>
      <c r="Q4156" s="44"/>
      <c r="R4156" s="44"/>
      <c r="S4156" s="44"/>
      <c r="T4156" s="44"/>
      <c r="U4156" s="44"/>
      <c r="V4156" s="44"/>
      <c r="W4156" s="44"/>
      <c r="X4156" s="44"/>
      <c r="Y4156" s="44"/>
    </row>
    <row r="4157" spans="14:25" ht="15" customHeight="1" x14ac:dyDescent="0.25">
      <c r="N4157" s="44"/>
      <c r="O4157" s="44"/>
      <c r="P4157" s="44"/>
      <c r="Q4157" s="44"/>
      <c r="R4157" s="44"/>
      <c r="S4157" s="44"/>
      <c r="T4157" s="44"/>
      <c r="U4157" s="44"/>
      <c r="V4157" s="44"/>
      <c r="W4157" s="44"/>
      <c r="X4157" s="44"/>
      <c r="Y4157" s="44"/>
    </row>
    <row r="4158" spans="14:25" ht="15" customHeight="1" x14ac:dyDescent="0.25">
      <c r="N4158" s="44"/>
      <c r="O4158" s="44"/>
      <c r="P4158" s="44"/>
      <c r="Q4158" s="44"/>
      <c r="R4158" s="44"/>
      <c r="S4158" s="44"/>
      <c r="T4158" s="44"/>
      <c r="U4158" s="44"/>
      <c r="V4158" s="44"/>
      <c r="W4158" s="44"/>
      <c r="X4158" s="44"/>
      <c r="Y4158" s="44"/>
    </row>
    <row r="4159" spans="14:25" ht="15" customHeight="1" x14ac:dyDescent="0.25">
      <c r="N4159" s="44"/>
      <c r="O4159" s="44"/>
      <c r="P4159" s="44"/>
      <c r="Q4159" s="44"/>
      <c r="R4159" s="44"/>
      <c r="S4159" s="44"/>
      <c r="T4159" s="44"/>
      <c r="U4159" s="44"/>
      <c r="V4159" s="44"/>
      <c r="W4159" s="44"/>
      <c r="X4159" s="44"/>
      <c r="Y4159" s="44"/>
    </row>
    <row r="4160" spans="14:25" ht="15" customHeight="1" x14ac:dyDescent="0.25">
      <c r="N4160" s="44"/>
      <c r="O4160" s="44"/>
      <c r="P4160" s="44"/>
      <c r="Q4160" s="44"/>
      <c r="R4160" s="44"/>
      <c r="S4160" s="44"/>
      <c r="T4160" s="44"/>
      <c r="U4160" s="44"/>
      <c r="V4160" s="44"/>
      <c r="W4160" s="44"/>
      <c r="X4160" s="44"/>
      <c r="Y4160" s="44"/>
    </row>
    <row r="4161" spans="14:25" ht="15" customHeight="1" x14ac:dyDescent="0.25">
      <c r="N4161" s="44"/>
      <c r="O4161" s="44"/>
      <c r="P4161" s="44"/>
      <c r="Q4161" s="44"/>
      <c r="R4161" s="44"/>
      <c r="S4161" s="44"/>
      <c r="T4161" s="44"/>
      <c r="U4161" s="44"/>
      <c r="V4161" s="44"/>
      <c r="W4161" s="44"/>
      <c r="X4161" s="44"/>
      <c r="Y4161" s="44"/>
    </row>
    <row r="4162" spans="14:25" ht="15" customHeight="1" x14ac:dyDescent="0.25">
      <c r="N4162" s="44"/>
      <c r="O4162" s="44"/>
      <c r="P4162" s="44"/>
      <c r="Q4162" s="44"/>
      <c r="R4162" s="44"/>
      <c r="S4162" s="44"/>
      <c r="T4162" s="44"/>
      <c r="U4162" s="44"/>
      <c r="V4162" s="44"/>
      <c r="W4162" s="44"/>
      <c r="X4162" s="44"/>
      <c r="Y4162" s="44"/>
    </row>
    <row r="4163" spans="14:25" ht="15" customHeight="1" x14ac:dyDescent="0.25">
      <c r="N4163" s="44"/>
      <c r="O4163" s="44"/>
      <c r="P4163" s="44"/>
      <c r="Q4163" s="44"/>
      <c r="R4163" s="44"/>
      <c r="S4163" s="44"/>
      <c r="T4163" s="44"/>
      <c r="U4163" s="44"/>
      <c r="V4163" s="44"/>
      <c r="W4163" s="44"/>
      <c r="X4163" s="44"/>
      <c r="Y4163" s="44"/>
    </row>
    <row r="4164" spans="14:25" ht="15" customHeight="1" x14ac:dyDescent="0.25">
      <c r="N4164" s="44"/>
      <c r="O4164" s="44"/>
      <c r="P4164" s="44"/>
      <c r="Q4164" s="44"/>
      <c r="R4164" s="44"/>
      <c r="S4164" s="44"/>
      <c r="T4164" s="44"/>
      <c r="U4164" s="44"/>
      <c r="V4164" s="44"/>
      <c r="W4164" s="44"/>
      <c r="X4164" s="44"/>
      <c r="Y4164" s="44"/>
    </row>
    <row r="4165" spans="14:25" ht="15" customHeight="1" x14ac:dyDescent="0.25">
      <c r="N4165" s="44"/>
      <c r="O4165" s="44"/>
      <c r="P4165" s="44"/>
      <c r="Q4165" s="44"/>
      <c r="R4165" s="44"/>
      <c r="S4165" s="44"/>
      <c r="T4165" s="44"/>
      <c r="U4165" s="44"/>
      <c r="V4165" s="44"/>
      <c r="W4165" s="44"/>
      <c r="X4165" s="44"/>
      <c r="Y4165" s="44"/>
    </row>
    <row r="4166" spans="14:25" ht="15" customHeight="1" x14ac:dyDescent="0.25">
      <c r="N4166" s="44"/>
      <c r="O4166" s="44"/>
      <c r="P4166" s="44"/>
      <c r="Q4166" s="44"/>
      <c r="R4166" s="44"/>
      <c r="S4166" s="44"/>
      <c r="T4166" s="44"/>
      <c r="U4166" s="44"/>
      <c r="V4166" s="44"/>
      <c r="W4166" s="44"/>
      <c r="X4166" s="44"/>
      <c r="Y4166" s="44"/>
    </row>
    <row r="4167" spans="14:25" ht="15" customHeight="1" x14ac:dyDescent="0.25">
      <c r="N4167" s="44"/>
      <c r="O4167" s="44"/>
      <c r="P4167" s="44"/>
      <c r="Q4167" s="44"/>
      <c r="R4167" s="44"/>
      <c r="S4167" s="44"/>
      <c r="T4167" s="44"/>
      <c r="U4167" s="44"/>
      <c r="V4167" s="44"/>
      <c r="W4167" s="44"/>
      <c r="X4167" s="44"/>
      <c r="Y4167" s="44"/>
    </row>
    <row r="4168" spans="14:25" ht="15" customHeight="1" x14ac:dyDescent="0.25">
      <c r="N4168" s="44"/>
      <c r="O4168" s="44"/>
      <c r="P4168" s="44"/>
      <c r="Q4168" s="44"/>
      <c r="R4168" s="44"/>
      <c r="S4168" s="44"/>
      <c r="T4168" s="44"/>
      <c r="U4168" s="44"/>
      <c r="V4168" s="44"/>
      <c r="W4168" s="44"/>
      <c r="X4168" s="44"/>
      <c r="Y4168" s="44"/>
    </row>
    <row r="4169" spans="14:25" ht="15" customHeight="1" x14ac:dyDescent="0.25">
      <c r="N4169" s="44"/>
      <c r="O4169" s="44"/>
      <c r="P4169" s="44"/>
      <c r="Q4169" s="44"/>
      <c r="R4169" s="44"/>
      <c r="S4169" s="44"/>
      <c r="T4169" s="44"/>
      <c r="U4169" s="44"/>
      <c r="V4169" s="44"/>
      <c r="W4169" s="44"/>
      <c r="X4169" s="44"/>
      <c r="Y4169" s="44"/>
    </row>
    <row r="4170" spans="14:25" ht="15" customHeight="1" x14ac:dyDescent="0.25">
      <c r="N4170" s="44"/>
      <c r="O4170" s="44"/>
      <c r="P4170" s="44"/>
      <c r="Q4170" s="44"/>
      <c r="R4170" s="44"/>
      <c r="S4170" s="44"/>
      <c r="T4170" s="44"/>
      <c r="U4170" s="44"/>
      <c r="V4170" s="44"/>
      <c r="W4170" s="44"/>
      <c r="X4170" s="44"/>
      <c r="Y4170" s="44"/>
    </row>
    <row r="4171" spans="14:25" ht="15" customHeight="1" x14ac:dyDescent="0.25">
      <c r="N4171" s="44"/>
      <c r="O4171" s="44"/>
      <c r="P4171" s="44"/>
      <c r="Q4171" s="44"/>
      <c r="R4171" s="44"/>
      <c r="S4171" s="44"/>
      <c r="T4171" s="44"/>
      <c r="U4171" s="44"/>
      <c r="V4171" s="44"/>
      <c r="W4171" s="44"/>
      <c r="X4171" s="44"/>
      <c r="Y4171" s="44"/>
    </row>
    <row r="4172" spans="14:25" ht="15" customHeight="1" x14ac:dyDescent="0.25">
      <c r="N4172" s="44"/>
      <c r="O4172" s="44"/>
      <c r="P4172" s="44"/>
      <c r="Q4172" s="44"/>
      <c r="R4172" s="44"/>
      <c r="S4172" s="44"/>
      <c r="T4172" s="44"/>
      <c r="U4172" s="44"/>
      <c r="V4172" s="44"/>
      <c r="W4172" s="44"/>
      <c r="X4172" s="44"/>
      <c r="Y4172" s="44"/>
    </row>
    <row r="4173" spans="14:25" ht="15" customHeight="1" x14ac:dyDescent="0.25">
      <c r="N4173" s="44"/>
      <c r="O4173" s="44"/>
      <c r="P4173" s="44"/>
      <c r="Q4173" s="44"/>
      <c r="R4173" s="44"/>
      <c r="S4173" s="44"/>
      <c r="T4173" s="44"/>
      <c r="U4173" s="44"/>
      <c r="V4173" s="44"/>
      <c r="W4173" s="44"/>
      <c r="X4173" s="44"/>
      <c r="Y4173" s="44"/>
    </row>
    <row r="4174" spans="14:25" ht="15" customHeight="1" x14ac:dyDescent="0.25">
      <c r="N4174" s="44"/>
      <c r="O4174" s="44"/>
      <c r="P4174" s="44"/>
      <c r="Q4174" s="44"/>
      <c r="R4174" s="44"/>
      <c r="S4174" s="44"/>
      <c r="T4174" s="44"/>
      <c r="U4174" s="44"/>
      <c r="V4174" s="44"/>
      <c r="W4174" s="44"/>
      <c r="X4174" s="44"/>
      <c r="Y4174" s="44"/>
    </row>
    <row r="4175" spans="14:25" ht="15" customHeight="1" x14ac:dyDescent="0.25">
      <c r="N4175" s="44"/>
      <c r="O4175" s="44"/>
      <c r="P4175" s="44"/>
      <c r="Q4175" s="44"/>
      <c r="R4175" s="44"/>
      <c r="S4175" s="44"/>
      <c r="T4175" s="44"/>
      <c r="U4175" s="44"/>
      <c r="V4175" s="44"/>
      <c r="W4175" s="44"/>
      <c r="X4175" s="44"/>
      <c r="Y4175" s="44"/>
    </row>
    <row r="4176" spans="14:25" ht="15" customHeight="1" x14ac:dyDescent="0.25">
      <c r="N4176" s="44"/>
      <c r="O4176" s="44"/>
      <c r="P4176" s="44"/>
      <c r="Q4176" s="44"/>
      <c r="R4176" s="44"/>
      <c r="S4176" s="44"/>
      <c r="T4176" s="44"/>
      <c r="U4176" s="44"/>
      <c r="V4176" s="44"/>
      <c r="W4176" s="44"/>
      <c r="X4176" s="44"/>
      <c r="Y4176" s="44"/>
    </row>
    <row r="4177" spans="14:25" ht="15" customHeight="1" x14ac:dyDescent="0.25">
      <c r="N4177" s="44"/>
      <c r="O4177" s="44"/>
      <c r="P4177" s="44"/>
      <c r="Q4177" s="44"/>
      <c r="R4177" s="44"/>
      <c r="S4177" s="44"/>
      <c r="T4177" s="44"/>
      <c r="U4177" s="44"/>
      <c r="V4177" s="44"/>
      <c r="W4177" s="44"/>
      <c r="X4177" s="44"/>
      <c r="Y4177" s="44"/>
    </row>
    <row r="4178" spans="14:25" ht="15" customHeight="1" x14ac:dyDescent="0.25">
      <c r="N4178" s="44"/>
      <c r="O4178" s="44"/>
      <c r="P4178" s="44"/>
      <c r="Q4178" s="44"/>
      <c r="R4178" s="44"/>
      <c r="S4178" s="44"/>
      <c r="T4178" s="44"/>
      <c r="U4178" s="44"/>
      <c r="V4178" s="44"/>
      <c r="W4178" s="44"/>
      <c r="X4178" s="44"/>
      <c r="Y4178" s="44"/>
    </row>
    <row r="4179" spans="14:25" ht="15" customHeight="1" x14ac:dyDescent="0.25">
      <c r="N4179" s="44"/>
      <c r="O4179" s="44"/>
      <c r="P4179" s="44"/>
      <c r="Q4179" s="44"/>
      <c r="R4179" s="44"/>
      <c r="S4179" s="44"/>
      <c r="T4179" s="44"/>
      <c r="U4179" s="44"/>
      <c r="V4179" s="44"/>
      <c r="W4179" s="44"/>
      <c r="X4179" s="44"/>
      <c r="Y4179" s="44"/>
    </row>
    <row r="4180" spans="14:25" ht="15" customHeight="1" x14ac:dyDescent="0.25">
      <c r="N4180" s="44"/>
      <c r="O4180" s="44"/>
      <c r="P4180" s="44"/>
      <c r="Q4180" s="44"/>
      <c r="R4180" s="44"/>
      <c r="S4180" s="44"/>
      <c r="T4180" s="44"/>
      <c r="U4180" s="44"/>
      <c r="V4180" s="44"/>
      <c r="W4180" s="44"/>
      <c r="X4180" s="44"/>
      <c r="Y4180" s="44"/>
    </row>
    <row r="4181" spans="14:25" ht="15" customHeight="1" x14ac:dyDescent="0.25">
      <c r="N4181" s="44"/>
      <c r="O4181" s="44"/>
      <c r="P4181" s="44"/>
      <c r="Q4181" s="44"/>
      <c r="R4181" s="44"/>
      <c r="S4181" s="44"/>
      <c r="T4181" s="44"/>
      <c r="U4181" s="44"/>
      <c r="V4181" s="44"/>
      <c r="W4181" s="44"/>
      <c r="X4181" s="44"/>
      <c r="Y4181" s="44"/>
    </row>
    <row r="4182" spans="14:25" ht="15" customHeight="1" x14ac:dyDescent="0.25">
      <c r="N4182" s="44"/>
      <c r="O4182" s="44"/>
      <c r="P4182" s="44"/>
      <c r="Q4182" s="44"/>
      <c r="R4182" s="44"/>
      <c r="S4182" s="44"/>
      <c r="T4182" s="44"/>
      <c r="U4182" s="44"/>
      <c r="V4182" s="44"/>
      <c r="W4182" s="44"/>
      <c r="X4182" s="44"/>
      <c r="Y4182" s="44"/>
    </row>
    <row r="4183" spans="14:25" ht="15" customHeight="1" x14ac:dyDescent="0.25">
      <c r="N4183" s="44"/>
      <c r="O4183" s="44"/>
      <c r="P4183" s="44"/>
      <c r="Q4183" s="44"/>
      <c r="R4183" s="44"/>
      <c r="S4183" s="44"/>
      <c r="T4183" s="44"/>
      <c r="U4183" s="44"/>
      <c r="V4183" s="44"/>
      <c r="W4183" s="44"/>
      <c r="X4183" s="44"/>
      <c r="Y4183" s="44"/>
    </row>
    <row r="4184" spans="14:25" ht="15" customHeight="1" x14ac:dyDescent="0.25">
      <c r="N4184" s="44"/>
      <c r="O4184" s="44"/>
      <c r="P4184" s="44"/>
      <c r="Q4184" s="44"/>
      <c r="R4184" s="44"/>
      <c r="S4184" s="44"/>
      <c r="T4184" s="44"/>
      <c r="U4184" s="44"/>
      <c r="V4184" s="44"/>
      <c r="W4184" s="44"/>
      <c r="X4184" s="44"/>
      <c r="Y4184" s="44"/>
    </row>
    <row r="4185" spans="14:25" ht="15" customHeight="1" x14ac:dyDescent="0.25">
      <c r="N4185" s="44"/>
      <c r="O4185" s="44"/>
      <c r="P4185" s="44"/>
      <c r="Q4185" s="44"/>
      <c r="R4185" s="44"/>
      <c r="S4185" s="44"/>
      <c r="T4185" s="44"/>
      <c r="U4185" s="44"/>
      <c r="V4185" s="44"/>
      <c r="W4185" s="44"/>
      <c r="X4185" s="44"/>
      <c r="Y4185" s="44"/>
    </row>
    <row r="4186" spans="14:25" ht="15" customHeight="1" x14ac:dyDescent="0.25">
      <c r="N4186" s="44"/>
      <c r="O4186" s="44"/>
      <c r="P4186" s="44"/>
      <c r="Q4186" s="44"/>
      <c r="R4186" s="44"/>
      <c r="S4186" s="44"/>
      <c r="T4186" s="44"/>
      <c r="U4186" s="44"/>
      <c r="V4186" s="44"/>
      <c r="W4186" s="44"/>
      <c r="X4186" s="44"/>
      <c r="Y4186" s="44"/>
    </row>
    <row r="4187" spans="14:25" ht="15" customHeight="1" x14ac:dyDescent="0.25">
      <c r="N4187" s="44"/>
      <c r="O4187" s="44"/>
      <c r="P4187" s="44"/>
      <c r="Q4187" s="44"/>
      <c r="R4187" s="44"/>
      <c r="S4187" s="44"/>
      <c r="T4187" s="44"/>
      <c r="U4187" s="44"/>
      <c r="V4187" s="44"/>
      <c r="W4187" s="44"/>
      <c r="X4187" s="44"/>
      <c r="Y4187" s="44"/>
    </row>
    <row r="4188" spans="14:25" ht="15" customHeight="1" x14ac:dyDescent="0.25">
      <c r="N4188" s="44"/>
      <c r="O4188" s="44"/>
      <c r="P4188" s="44"/>
      <c r="Q4188" s="44"/>
      <c r="R4188" s="44"/>
      <c r="S4188" s="44"/>
      <c r="T4188" s="44"/>
      <c r="U4188" s="44"/>
      <c r="V4188" s="44"/>
      <c r="W4188" s="44"/>
      <c r="X4188" s="44"/>
      <c r="Y4188" s="44"/>
    </row>
    <row r="4189" spans="14:25" ht="15" customHeight="1" x14ac:dyDescent="0.25">
      <c r="N4189" s="44"/>
      <c r="O4189" s="44"/>
      <c r="P4189" s="44"/>
      <c r="Q4189" s="44"/>
      <c r="R4189" s="44"/>
      <c r="S4189" s="44"/>
      <c r="T4189" s="44"/>
      <c r="U4189" s="44"/>
      <c r="V4189" s="44"/>
      <c r="W4189" s="44"/>
      <c r="X4189" s="44"/>
      <c r="Y4189" s="44"/>
    </row>
    <row r="4190" spans="14:25" ht="15" customHeight="1" x14ac:dyDescent="0.25">
      <c r="N4190" s="44"/>
      <c r="O4190" s="44"/>
      <c r="P4190" s="44"/>
      <c r="Q4190" s="44"/>
      <c r="R4190" s="44"/>
      <c r="S4190" s="44"/>
      <c r="T4190" s="44"/>
      <c r="U4190" s="44"/>
      <c r="V4190" s="44"/>
      <c r="W4190" s="44"/>
      <c r="X4190" s="44"/>
      <c r="Y4190" s="44"/>
    </row>
    <row r="4191" spans="14:25" ht="15" customHeight="1" x14ac:dyDescent="0.25">
      <c r="N4191" s="44"/>
      <c r="O4191" s="44"/>
      <c r="P4191" s="44"/>
      <c r="Q4191" s="44"/>
      <c r="R4191" s="44"/>
      <c r="S4191" s="44"/>
      <c r="T4191" s="44"/>
      <c r="U4191" s="44"/>
      <c r="V4191" s="44"/>
      <c r="W4191" s="44"/>
      <c r="X4191" s="44"/>
      <c r="Y4191" s="44"/>
    </row>
    <row r="4192" spans="14:25" ht="15" customHeight="1" x14ac:dyDescent="0.25">
      <c r="N4192" s="44"/>
      <c r="O4192" s="44"/>
      <c r="P4192" s="44"/>
      <c r="Q4192" s="44"/>
      <c r="R4192" s="44"/>
      <c r="S4192" s="44"/>
      <c r="T4192" s="44"/>
      <c r="U4192" s="44"/>
      <c r="V4192" s="44"/>
      <c r="W4192" s="44"/>
      <c r="X4192" s="44"/>
      <c r="Y4192" s="44"/>
    </row>
    <row r="4193" spans="14:25" ht="15" customHeight="1" x14ac:dyDescent="0.25">
      <c r="N4193" s="44"/>
      <c r="O4193" s="44"/>
      <c r="P4193" s="44"/>
      <c r="Q4193" s="44"/>
      <c r="R4193" s="44"/>
      <c r="S4193" s="44"/>
      <c r="T4193" s="44"/>
      <c r="U4193" s="44"/>
      <c r="V4193" s="44"/>
      <c r="W4193" s="44"/>
      <c r="X4193" s="44"/>
      <c r="Y4193" s="44"/>
    </row>
    <row r="4194" spans="14:25" ht="15" customHeight="1" x14ac:dyDescent="0.25">
      <c r="N4194" s="44"/>
      <c r="O4194" s="44"/>
      <c r="P4194" s="44"/>
      <c r="Q4194" s="44"/>
      <c r="R4194" s="44"/>
      <c r="S4194" s="44"/>
      <c r="T4194" s="44"/>
      <c r="U4194" s="44"/>
      <c r="V4194" s="44"/>
      <c r="W4194" s="44"/>
      <c r="X4194" s="44"/>
      <c r="Y4194" s="44"/>
    </row>
    <row r="4195" spans="14:25" ht="15" customHeight="1" x14ac:dyDescent="0.25">
      <c r="N4195" s="44"/>
      <c r="O4195" s="44"/>
      <c r="P4195" s="44"/>
      <c r="Q4195" s="44"/>
      <c r="R4195" s="44"/>
      <c r="S4195" s="44"/>
      <c r="T4195" s="44"/>
      <c r="U4195" s="44"/>
      <c r="V4195" s="44"/>
      <c r="W4195" s="44"/>
      <c r="X4195" s="44"/>
      <c r="Y4195" s="44"/>
    </row>
    <row r="4196" spans="14:25" ht="15" customHeight="1" x14ac:dyDescent="0.25">
      <c r="N4196" s="44"/>
      <c r="O4196" s="44"/>
      <c r="P4196" s="44"/>
      <c r="Q4196" s="44"/>
      <c r="R4196" s="44"/>
      <c r="S4196" s="44"/>
      <c r="T4196" s="44"/>
      <c r="U4196" s="44"/>
      <c r="V4196" s="44"/>
      <c r="W4196" s="44"/>
      <c r="X4196" s="44"/>
      <c r="Y4196" s="44"/>
    </row>
    <row r="4197" spans="14:25" ht="15" customHeight="1" x14ac:dyDescent="0.25">
      <c r="N4197" s="44"/>
      <c r="O4197" s="44"/>
      <c r="P4197" s="44"/>
      <c r="Q4197" s="44"/>
      <c r="R4197" s="44"/>
      <c r="S4197" s="44"/>
      <c r="T4197" s="44"/>
      <c r="U4197" s="44"/>
      <c r="V4197" s="44"/>
      <c r="W4197" s="44"/>
      <c r="X4197" s="44"/>
      <c r="Y4197" s="44"/>
    </row>
    <row r="4198" spans="14:25" ht="15" customHeight="1" x14ac:dyDescent="0.25">
      <c r="N4198" s="44"/>
      <c r="O4198" s="44"/>
      <c r="P4198" s="44"/>
      <c r="Q4198" s="44"/>
      <c r="R4198" s="44"/>
      <c r="S4198" s="44"/>
      <c r="T4198" s="44"/>
      <c r="U4198" s="44"/>
      <c r="V4198" s="44"/>
      <c r="W4198" s="44"/>
      <c r="X4198" s="44"/>
      <c r="Y4198" s="44"/>
    </row>
    <row r="4199" spans="14:25" ht="15" customHeight="1" x14ac:dyDescent="0.25">
      <c r="N4199" s="44"/>
      <c r="O4199" s="44"/>
      <c r="P4199" s="44"/>
      <c r="Q4199" s="44"/>
      <c r="R4199" s="44"/>
      <c r="S4199" s="44"/>
      <c r="T4199" s="44"/>
      <c r="U4199" s="44"/>
      <c r="V4199" s="44"/>
      <c r="W4199" s="44"/>
      <c r="X4199" s="44"/>
      <c r="Y4199" s="44"/>
    </row>
    <row r="4200" spans="14:25" ht="15" customHeight="1" x14ac:dyDescent="0.25">
      <c r="N4200" s="44"/>
      <c r="O4200" s="44"/>
      <c r="P4200" s="44"/>
      <c r="Q4200" s="44"/>
      <c r="R4200" s="44"/>
      <c r="S4200" s="44"/>
      <c r="T4200" s="44"/>
      <c r="U4200" s="44"/>
      <c r="V4200" s="44"/>
      <c r="W4200" s="44"/>
      <c r="X4200" s="44"/>
      <c r="Y4200" s="44"/>
    </row>
    <row r="4201" spans="14:25" ht="15" customHeight="1" x14ac:dyDescent="0.25">
      <c r="N4201" s="44"/>
      <c r="O4201" s="44"/>
      <c r="P4201" s="44"/>
      <c r="Q4201" s="44"/>
      <c r="R4201" s="44"/>
      <c r="S4201" s="44"/>
      <c r="T4201" s="44"/>
      <c r="U4201" s="44"/>
      <c r="V4201" s="44"/>
      <c r="W4201" s="44"/>
      <c r="X4201" s="44"/>
      <c r="Y4201" s="44"/>
    </row>
    <row r="4202" spans="14:25" ht="15" customHeight="1" x14ac:dyDescent="0.25">
      <c r="N4202" s="44"/>
      <c r="O4202" s="44"/>
      <c r="P4202" s="44"/>
      <c r="Q4202" s="44"/>
      <c r="R4202" s="44"/>
      <c r="S4202" s="44"/>
      <c r="T4202" s="44"/>
      <c r="U4202" s="44"/>
      <c r="V4202" s="44"/>
      <c r="W4202" s="44"/>
      <c r="X4202" s="44"/>
      <c r="Y4202" s="44"/>
    </row>
    <row r="4203" spans="14:25" ht="15" customHeight="1" x14ac:dyDescent="0.25">
      <c r="N4203" s="44"/>
      <c r="O4203" s="44"/>
      <c r="P4203" s="44"/>
      <c r="Q4203" s="44"/>
      <c r="R4203" s="44"/>
      <c r="S4203" s="44"/>
      <c r="T4203" s="44"/>
      <c r="U4203" s="44"/>
      <c r="V4203" s="44"/>
      <c r="W4203" s="44"/>
      <c r="X4203" s="44"/>
      <c r="Y4203" s="44"/>
    </row>
    <row r="4204" spans="14:25" ht="15" customHeight="1" x14ac:dyDescent="0.25">
      <c r="N4204" s="44"/>
      <c r="O4204" s="44"/>
      <c r="P4204" s="44"/>
      <c r="Q4204" s="44"/>
      <c r="R4204" s="44"/>
      <c r="S4204" s="44"/>
      <c r="T4204" s="44"/>
      <c r="U4204" s="44"/>
      <c r="V4204" s="44"/>
      <c r="W4204" s="44"/>
      <c r="X4204" s="44"/>
      <c r="Y4204" s="44"/>
    </row>
    <row r="4205" spans="14:25" ht="15" customHeight="1" x14ac:dyDescent="0.25">
      <c r="N4205" s="44"/>
      <c r="O4205" s="44"/>
      <c r="P4205" s="44"/>
      <c r="Q4205" s="44"/>
      <c r="R4205" s="44"/>
      <c r="S4205" s="44"/>
      <c r="T4205" s="44"/>
      <c r="U4205" s="44"/>
      <c r="V4205" s="44"/>
      <c r="W4205" s="44"/>
      <c r="X4205" s="44"/>
      <c r="Y4205" s="44"/>
    </row>
    <row r="4206" spans="14:25" ht="15" customHeight="1" x14ac:dyDescent="0.25">
      <c r="N4206" s="44"/>
      <c r="O4206" s="44"/>
      <c r="P4206" s="44"/>
      <c r="Q4206" s="44"/>
      <c r="R4206" s="44"/>
      <c r="S4206" s="44"/>
      <c r="T4206" s="44"/>
      <c r="U4206" s="44"/>
      <c r="V4206" s="44"/>
      <c r="W4206" s="44"/>
      <c r="X4206" s="44"/>
      <c r="Y4206" s="44"/>
    </row>
    <row r="4207" spans="14:25" ht="15" customHeight="1" x14ac:dyDescent="0.25">
      <c r="N4207" s="44"/>
      <c r="O4207" s="44"/>
      <c r="P4207" s="44"/>
      <c r="Q4207" s="44"/>
      <c r="R4207" s="44"/>
      <c r="S4207" s="44"/>
      <c r="T4207" s="44"/>
      <c r="U4207" s="44"/>
      <c r="V4207" s="44"/>
      <c r="W4207" s="44"/>
      <c r="X4207" s="44"/>
      <c r="Y4207" s="44"/>
    </row>
    <row r="4208" spans="14:25" ht="15" customHeight="1" x14ac:dyDescent="0.25">
      <c r="N4208" s="44"/>
      <c r="O4208" s="44"/>
      <c r="P4208" s="44"/>
      <c r="Q4208" s="44"/>
      <c r="R4208" s="44"/>
      <c r="S4208" s="44"/>
      <c r="T4208" s="44"/>
      <c r="U4208" s="44"/>
      <c r="V4208" s="44"/>
      <c r="W4208" s="44"/>
      <c r="X4208" s="44"/>
      <c r="Y4208" s="44"/>
    </row>
    <row r="4209" spans="14:25" ht="15" customHeight="1" x14ac:dyDescent="0.25">
      <c r="N4209" s="44"/>
      <c r="O4209" s="44"/>
      <c r="P4209" s="44"/>
      <c r="Q4209" s="44"/>
      <c r="R4209" s="44"/>
      <c r="S4209" s="44"/>
      <c r="T4209" s="44"/>
      <c r="U4209" s="44"/>
      <c r="V4209" s="44"/>
      <c r="W4209" s="44"/>
      <c r="X4209" s="44"/>
      <c r="Y4209" s="44"/>
    </row>
    <row r="4210" spans="14:25" ht="15" customHeight="1" x14ac:dyDescent="0.25">
      <c r="N4210" s="44"/>
      <c r="O4210" s="44"/>
      <c r="P4210" s="44"/>
      <c r="Q4210" s="44"/>
      <c r="R4210" s="44"/>
      <c r="S4210" s="44"/>
      <c r="T4210" s="44"/>
      <c r="U4210" s="44"/>
      <c r="V4210" s="44"/>
      <c r="W4210" s="44"/>
      <c r="X4210" s="44"/>
      <c r="Y4210" s="44"/>
    </row>
    <row r="4211" spans="14:25" ht="15" customHeight="1" x14ac:dyDescent="0.25">
      <c r="N4211" s="44"/>
      <c r="O4211" s="44"/>
      <c r="P4211" s="44"/>
      <c r="Q4211" s="44"/>
      <c r="R4211" s="44"/>
      <c r="S4211" s="44"/>
      <c r="T4211" s="44"/>
      <c r="U4211" s="44"/>
      <c r="V4211" s="44"/>
      <c r="W4211" s="44"/>
      <c r="X4211" s="44"/>
      <c r="Y4211" s="44"/>
    </row>
    <row r="4212" spans="14:25" ht="15" customHeight="1" x14ac:dyDescent="0.25">
      <c r="N4212" s="44"/>
      <c r="O4212" s="44"/>
      <c r="P4212" s="44"/>
      <c r="Q4212" s="44"/>
      <c r="R4212" s="44"/>
      <c r="S4212" s="44"/>
      <c r="T4212" s="44"/>
      <c r="U4212" s="44"/>
      <c r="V4212" s="44"/>
      <c r="W4212" s="44"/>
      <c r="X4212" s="44"/>
      <c r="Y4212" s="44"/>
    </row>
    <row r="4213" spans="14:25" ht="15" customHeight="1" x14ac:dyDescent="0.25">
      <c r="N4213" s="44"/>
      <c r="O4213" s="44"/>
      <c r="P4213" s="44"/>
      <c r="Q4213" s="44"/>
      <c r="R4213" s="44"/>
      <c r="S4213" s="44"/>
      <c r="T4213" s="44"/>
      <c r="U4213" s="44"/>
      <c r="V4213" s="44"/>
      <c r="W4213" s="44"/>
      <c r="X4213" s="44"/>
      <c r="Y4213" s="44"/>
    </row>
    <row r="4214" spans="14:25" ht="15" customHeight="1" x14ac:dyDescent="0.25">
      <c r="N4214" s="44"/>
      <c r="O4214" s="44"/>
      <c r="P4214" s="44"/>
      <c r="Q4214" s="44"/>
      <c r="R4214" s="44"/>
      <c r="S4214" s="44"/>
      <c r="T4214" s="44"/>
      <c r="U4214" s="44"/>
      <c r="V4214" s="44"/>
      <c r="W4214" s="44"/>
      <c r="X4214" s="44"/>
      <c r="Y4214" s="44"/>
    </row>
    <row r="4215" spans="14:25" ht="15" customHeight="1" x14ac:dyDescent="0.25">
      <c r="N4215" s="44"/>
      <c r="O4215" s="44"/>
      <c r="P4215" s="44"/>
      <c r="Q4215" s="44"/>
      <c r="R4215" s="44"/>
      <c r="S4215" s="44"/>
      <c r="T4215" s="44"/>
      <c r="U4215" s="44"/>
      <c r="V4215" s="44"/>
      <c r="W4215" s="44"/>
      <c r="X4215" s="44"/>
      <c r="Y4215" s="44"/>
    </row>
    <row r="4216" spans="14:25" ht="15" customHeight="1" x14ac:dyDescent="0.25">
      <c r="N4216" s="44"/>
      <c r="O4216" s="44"/>
      <c r="P4216" s="44"/>
      <c r="Q4216" s="44"/>
      <c r="R4216" s="44"/>
      <c r="S4216" s="44"/>
      <c r="T4216" s="44"/>
      <c r="U4216" s="44"/>
      <c r="V4216" s="44"/>
      <c r="W4216" s="44"/>
      <c r="X4216" s="44"/>
      <c r="Y4216" s="44"/>
    </row>
    <row r="4217" spans="14:25" ht="15" customHeight="1" x14ac:dyDescent="0.25">
      <c r="N4217" s="44"/>
      <c r="O4217" s="44"/>
      <c r="P4217" s="44"/>
      <c r="Q4217" s="44"/>
      <c r="R4217" s="44"/>
      <c r="S4217" s="44"/>
      <c r="T4217" s="44"/>
      <c r="U4217" s="44"/>
      <c r="V4217" s="44"/>
      <c r="W4217" s="44"/>
      <c r="X4217" s="44"/>
      <c r="Y4217" s="44"/>
    </row>
    <row r="4218" spans="14:25" ht="15" customHeight="1" x14ac:dyDescent="0.25">
      <c r="N4218" s="44"/>
      <c r="O4218" s="44"/>
      <c r="P4218" s="44"/>
      <c r="Q4218" s="44"/>
      <c r="R4218" s="44"/>
      <c r="S4218" s="44"/>
      <c r="T4218" s="44"/>
      <c r="U4218" s="44"/>
      <c r="V4218" s="44"/>
      <c r="W4218" s="44"/>
      <c r="X4218" s="44"/>
      <c r="Y4218" s="44"/>
    </row>
    <row r="4219" spans="14:25" ht="15" customHeight="1" x14ac:dyDescent="0.25">
      <c r="N4219" s="44"/>
      <c r="O4219" s="44"/>
      <c r="P4219" s="44"/>
      <c r="Q4219" s="44"/>
      <c r="R4219" s="44"/>
      <c r="S4219" s="44"/>
      <c r="T4219" s="44"/>
      <c r="U4219" s="44"/>
      <c r="V4219" s="44"/>
      <c r="W4219" s="44"/>
      <c r="X4219" s="44"/>
      <c r="Y4219" s="44"/>
    </row>
    <row r="4220" spans="14:25" ht="15" customHeight="1" x14ac:dyDescent="0.25">
      <c r="N4220" s="44"/>
      <c r="O4220" s="44"/>
      <c r="P4220" s="44"/>
      <c r="Q4220" s="44"/>
      <c r="R4220" s="44"/>
      <c r="S4220" s="44"/>
      <c r="T4220" s="44"/>
      <c r="U4220" s="44"/>
      <c r="V4220" s="44"/>
      <c r="W4220" s="44"/>
      <c r="X4220" s="44"/>
      <c r="Y4220" s="44"/>
    </row>
    <row r="4221" spans="14:25" ht="15" customHeight="1" x14ac:dyDescent="0.25">
      <c r="N4221" s="44"/>
      <c r="O4221" s="44"/>
      <c r="P4221" s="44"/>
      <c r="Q4221" s="44"/>
      <c r="R4221" s="44"/>
      <c r="S4221" s="44"/>
      <c r="T4221" s="44"/>
      <c r="U4221" s="44"/>
      <c r="V4221" s="44"/>
      <c r="W4221" s="44"/>
      <c r="X4221" s="44"/>
      <c r="Y4221" s="44"/>
    </row>
    <row r="4222" spans="14:25" ht="15" customHeight="1" x14ac:dyDescent="0.25">
      <c r="N4222" s="44"/>
      <c r="O4222" s="44"/>
      <c r="P4222" s="44"/>
      <c r="Q4222" s="44"/>
      <c r="R4222" s="44"/>
      <c r="S4222" s="44"/>
      <c r="T4222" s="44"/>
      <c r="U4222" s="44"/>
      <c r="V4222" s="44"/>
      <c r="W4222" s="44"/>
      <c r="X4222" s="44"/>
      <c r="Y4222" s="44"/>
    </row>
    <row r="4223" spans="14:25" ht="15" customHeight="1" x14ac:dyDescent="0.25">
      <c r="N4223" s="44"/>
      <c r="O4223" s="44"/>
      <c r="P4223" s="44"/>
      <c r="Q4223" s="44"/>
      <c r="R4223" s="44"/>
      <c r="S4223" s="44"/>
      <c r="T4223" s="44"/>
      <c r="U4223" s="44"/>
      <c r="V4223" s="44"/>
      <c r="W4223" s="44"/>
      <c r="X4223" s="44"/>
      <c r="Y4223" s="44"/>
    </row>
    <row r="4224" spans="14:25" ht="15" customHeight="1" x14ac:dyDescent="0.25">
      <c r="N4224" s="44"/>
      <c r="O4224" s="44"/>
      <c r="P4224" s="44"/>
      <c r="Q4224" s="44"/>
      <c r="R4224" s="44"/>
      <c r="S4224" s="44"/>
      <c r="T4224" s="44"/>
      <c r="U4224" s="44"/>
      <c r="V4224" s="44"/>
      <c r="W4224" s="44"/>
      <c r="X4224" s="44"/>
      <c r="Y4224" s="44"/>
    </row>
    <row r="4225" spans="14:25" ht="15" customHeight="1" x14ac:dyDescent="0.25">
      <c r="N4225" s="44"/>
      <c r="O4225" s="44"/>
      <c r="P4225" s="44"/>
      <c r="Q4225" s="44"/>
      <c r="R4225" s="44"/>
      <c r="S4225" s="44"/>
      <c r="T4225" s="44"/>
      <c r="U4225" s="44"/>
      <c r="V4225" s="44"/>
      <c r="W4225" s="44"/>
      <c r="X4225" s="44"/>
      <c r="Y4225" s="44"/>
    </row>
    <row r="4226" spans="14:25" ht="15" customHeight="1" x14ac:dyDescent="0.25">
      <c r="N4226" s="44"/>
      <c r="O4226" s="44"/>
      <c r="P4226" s="44"/>
      <c r="Q4226" s="44"/>
      <c r="R4226" s="44"/>
      <c r="S4226" s="44"/>
      <c r="T4226" s="44"/>
      <c r="U4226" s="44"/>
      <c r="V4226" s="44"/>
      <c r="W4226" s="44"/>
      <c r="X4226" s="44"/>
      <c r="Y4226" s="44"/>
    </row>
    <row r="4227" spans="14:25" ht="15" customHeight="1" x14ac:dyDescent="0.25">
      <c r="N4227" s="44"/>
      <c r="O4227" s="44"/>
      <c r="P4227" s="44"/>
      <c r="Q4227" s="44"/>
      <c r="R4227" s="44"/>
      <c r="S4227" s="44"/>
      <c r="T4227" s="44"/>
      <c r="U4227" s="44"/>
      <c r="V4227" s="44"/>
      <c r="W4227" s="44"/>
      <c r="X4227" s="44"/>
      <c r="Y4227" s="44"/>
    </row>
    <row r="4228" spans="14:25" ht="15" customHeight="1" x14ac:dyDescent="0.25">
      <c r="N4228" s="44"/>
      <c r="O4228" s="44"/>
      <c r="P4228" s="44"/>
      <c r="Q4228" s="44"/>
      <c r="R4228" s="44"/>
      <c r="S4228" s="44"/>
      <c r="T4228" s="44"/>
      <c r="U4228" s="44"/>
      <c r="V4228" s="44"/>
      <c r="W4228" s="44"/>
      <c r="X4228" s="44"/>
      <c r="Y4228" s="44"/>
    </row>
    <row r="4229" spans="14:25" ht="15" customHeight="1" x14ac:dyDescent="0.25">
      <c r="N4229" s="44"/>
      <c r="O4229" s="44"/>
      <c r="P4229" s="44"/>
      <c r="Q4229" s="44"/>
      <c r="R4229" s="44"/>
      <c r="S4229" s="44"/>
      <c r="T4229" s="44"/>
      <c r="U4229" s="44"/>
      <c r="V4229" s="44"/>
      <c r="W4229" s="44"/>
      <c r="X4229" s="44"/>
      <c r="Y4229" s="44"/>
    </row>
    <row r="4230" spans="14:25" ht="15" customHeight="1" x14ac:dyDescent="0.25">
      <c r="N4230" s="44"/>
      <c r="O4230" s="44"/>
      <c r="P4230" s="44"/>
      <c r="Q4230" s="44"/>
      <c r="R4230" s="44"/>
      <c r="S4230" s="44"/>
      <c r="T4230" s="44"/>
      <c r="U4230" s="44"/>
      <c r="V4230" s="44"/>
      <c r="W4230" s="44"/>
      <c r="X4230" s="44"/>
      <c r="Y4230" s="44"/>
    </row>
    <row r="4231" spans="14:25" ht="15" customHeight="1" x14ac:dyDescent="0.25">
      <c r="N4231" s="44"/>
      <c r="O4231" s="44"/>
      <c r="P4231" s="44"/>
      <c r="Q4231" s="44"/>
      <c r="R4231" s="44"/>
      <c r="S4231" s="44"/>
      <c r="T4231" s="44"/>
      <c r="U4231" s="44"/>
      <c r="V4231" s="44"/>
      <c r="W4231" s="44"/>
      <c r="X4231" s="44"/>
      <c r="Y4231" s="44"/>
    </row>
    <row r="4232" spans="14:25" ht="15" customHeight="1" x14ac:dyDescent="0.25">
      <c r="N4232" s="44"/>
      <c r="O4232" s="44"/>
      <c r="P4232" s="44"/>
      <c r="Q4232" s="44"/>
      <c r="R4232" s="44"/>
      <c r="S4232" s="44"/>
      <c r="T4232" s="44"/>
      <c r="U4232" s="44"/>
      <c r="V4232" s="44"/>
      <c r="W4232" s="44"/>
      <c r="X4232" s="44"/>
      <c r="Y4232" s="44"/>
    </row>
    <row r="4233" spans="14:25" ht="15" customHeight="1" x14ac:dyDescent="0.25">
      <c r="N4233" s="44"/>
      <c r="O4233" s="44"/>
      <c r="P4233" s="44"/>
      <c r="Q4233" s="44"/>
      <c r="R4233" s="44"/>
      <c r="S4233" s="44"/>
      <c r="T4233" s="44"/>
      <c r="U4233" s="44"/>
      <c r="V4233" s="44"/>
      <c r="W4233" s="44"/>
      <c r="X4233" s="44"/>
      <c r="Y4233" s="44"/>
    </row>
    <row r="4234" spans="14:25" ht="15" customHeight="1" x14ac:dyDescent="0.25">
      <c r="N4234" s="44"/>
      <c r="O4234" s="44"/>
      <c r="P4234" s="44"/>
      <c r="Q4234" s="44"/>
      <c r="R4234" s="44"/>
      <c r="S4234" s="44"/>
      <c r="T4234" s="44"/>
      <c r="U4234" s="44"/>
      <c r="V4234" s="44"/>
      <c r="W4234" s="44"/>
      <c r="X4234" s="44"/>
      <c r="Y4234" s="44"/>
    </row>
    <row r="4235" spans="14:25" ht="15" customHeight="1" x14ac:dyDescent="0.25">
      <c r="N4235" s="44"/>
      <c r="O4235" s="44"/>
      <c r="P4235" s="44"/>
      <c r="Q4235" s="44"/>
      <c r="R4235" s="44"/>
      <c r="S4235" s="44"/>
      <c r="T4235" s="44"/>
      <c r="U4235" s="44"/>
      <c r="V4235" s="44"/>
      <c r="W4235" s="44"/>
      <c r="X4235" s="44"/>
      <c r="Y4235" s="44"/>
    </row>
    <row r="4236" spans="14:25" ht="15" customHeight="1" x14ac:dyDescent="0.25">
      <c r="N4236" s="44"/>
      <c r="O4236" s="44"/>
      <c r="P4236" s="44"/>
      <c r="Q4236" s="44"/>
      <c r="R4236" s="44"/>
      <c r="S4236" s="44"/>
      <c r="T4236" s="44"/>
      <c r="U4236" s="44"/>
      <c r="V4236" s="44"/>
      <c r="W4236" s="44"/>
      <c r="X4236" s="44"/>
      <c r="Y4236" s="44"/>
    </row>
    <row r="4237" spans="14:25" ht="15" customHeight="1" x14ac:dyDescent="0.25">
      <c r="N4237" s="44"/>
      <c r="O4237" s="44"/>
      <c r="P4237" s="44"/>
      <c r="Q4237" s="44"/>
      <c r="R4237" s="44"/>
      <c r="S4237" s="44"/>
      <c r="T4237" s="44"/>
      <c r="U4237" s="44"/>
      <c r="V4237" s="44"/>
      <c r="W4237" s="44"/>
      <c r="X4237" s="44"/>
      <c r="Y4237" s="44"/>
    </row>
    <row r="4238" spans="14:25" ht="15" customHeight="1" x14ac:dyDescent="0.25">
      <c r="N4238" s="44"/>
      <c r="O4238" s="44"/>
      <c r="P4238" s="44"/>
      <c r="Q4238" s="44"/>
      <c r="R4238" s="44"/>
      <c r="S4238" s="44"/>
      <c r="T4238" s="44"/>
      <c r="U4238" s="44"/>
      <c r="V4238" s="44"/>
      <c r="W4238" s="44"/>
      <c r="X4238" s="44"/>
      <c r="Y4238" s="44"/>
    </row>
    <row r="4239" spans="14:25" ht="15" customHeight="1" x14ac:dyDescent="0.25">
      <c r="N4239" s="44"/>
      <c r="O4239" s="44"/>
      <c r="P4239" s="44"/>
      <c r="Q4239" s="44"/>
      <c r="R4239" s="44"/>
      <c r="S4239" s="44"/>
      <c r="T4239" s="44"/>
      <c r="U4239" s="44"/>
      <c r="V4239" s="44"/>
      <c r="W4239" s="44"/>
      <c r="X4239" s="44"/>
      <c r="Y4239" s="44"/>
    </row>
    <row r="4240" spans="14:25" ht="15" customHeight="1" x14ac:dyDescent="0.25">
      <c r="N4240" s="44"/>
      <c r="O4240" s="44"/>
      <c r="P4240" s="44"/>
      <c r="Q4240" s="44"/>
      <c r="R4240" s="44"/>
      <c r="S4240" s="44"/>
      <c r="T4240" s="44"/>
      <c r="U4240" s="44"/>
      <c r="V4240" s="44"/>
      <c r="W4240" s="44"/>
      <c r="X4240" s="44"/>
      <c r="Y4240" s="44"/>
    </row>
    <row r="4241" spans="14:25" ht="15" customHeight="1" x14ac:dyDescent="0.25">
      <c r="N4241" s="44"/>
      <c r="O4241" s="44"/>
      <c r="P4241" s="44"/>
      <c r="Q4241" s="44"/>
      <c r="R4241" s="44"/>
      <c r="S4241" s="44"/>
      <c r="T4241" s="44"/>
      <c r="U4241" s="44"/>
      <c r="V4241" s="44"/>
      <c r="W4241" s="44"/>
      <c r="X4241" s="44"/>
      <c r="Y4241" s="44"/>
    </row>
    <row r="4242" spans="14:25" ht="15" customHeight="1" x14ac:dyDescent="0.25">
      <c r="N4242" s="44"/>
      <c r="O4242" s="44"/>
      <c r="P4242" s="44"/>
      <c r="Q4242" s="44"/>
      <c r="R4242" s="44"/>
      <c r="S4242" s="44"/>
      <c r="T4242" s="44"/>
      <c r="U4242" s="44"/>
      <c r="V4242" s="44"/>
      <c r="W4242" s="44"/>
      <c r="X4242" s="44"/>
      <c r="Y4242" s="44"/>
    </row>
    <row r="4243" spans="14:25" ht="15" customHeight="1" x14ac:dyDescent="0.25">
      <c r="N4243" s="44"/>
      <c r="O4243" s="44"/>
      <c r="P4243" s="44"/>
      <c r="Q4243" s="44"/>
      <c r="R4243" s="44"/>
      <c r="S4243" s="44"/>
      <c r="T4243" s="44"/>
      <c r="U4243" s="44"/>
      <c r="V4243" s="44"/>
      <c r="W4243" s="44"/>
      <c r="X4243" s="44"/>
      <c r="Y4243" s="44"/>
    </row>
    <row r="4244" spans="14:25" ht="15" customHeight="1" x14ac:dyDescent="0.25">
      <c r="N4244" s="44"/>
      <c r="O4244" s="44"/>
      <c r="P4244" s="44"/>
      <c r="Q4244" s="44"/>
      <c r="R4244" s="44"/>
      <c r="S4244" s="44"/>
      <c r="T4244" s="44"/>
      <c r="U4244" s="44"/>
      <c r="V4244" s="44"/>
      <c r="W4244" s="44"/>
      <c r="X4244" s="44"/>
      <c r="Y4244" s="44"/>
    </row>
    <row r="4245" spans="14:25" ht="15" customHeight="1" x14ac:dyDescent="0.25">
      <c r="N4245" s="44"/>
      <c r="O4245" s="44"/>
      <c r="P4245" s="44"/>
      <c r="Q4245" s="44"/>
      <c r="R4245" s="44"/>
      <c r="S4245" s="44"/>
      <c r="T4245" s="44"/>
      <c r="U4245" s="44"/>
      <c r="V4245" s="44"/>
      <c r="W4245" s="44"/>
      <c r="X4245" s="44"/>
      <c r="Y4245" s="44"/>
    </row>
    <row r="4246" spans="14:25" ht="15" customHeight="1" x14ac:dyDescent="0.25">
      <c r="N4246" s="44"/>
      <c r="O4246" s="44"/>
      <c r="P4246" s="44"/>
      <c r="Q4246" s="44"/>
      <c r="R4246" s="44"/>
      <c r="S4246" s="44"/>
      <c r="T4246" s="44"/>
      <c r="U4246" s="44"/>
      <c r="V4246" s="44"/>
      <c r="W4246" s="44"/>
      <c r="X4246" s="44"/>
      <c r="Y4246" s="44"/>
    </row>
    <row r="4247" spans="14:25" ht="15" customHeight="1" x14ac:dyDescent="0.25">
      <c r="N4247" s="44"/>
      <c r="O4247" s="44"/>
      <c r="P4247" s="44"/>
      <c r="Q4247" s="44"/>
      <c r="R4247" s="44"/>
      <c r="S4247" s="44"/>
      <c r="T4247" s="44"/>
      <c r="U4247" s="44"/>
      <c r="V4247" s="44"/>
      <c r="W4247" s="44"/>
      <c r="X4247" s="44"/>
      <c r="Y4247" s="44"/>
    </row>
    <row r="4248" spans="14:25" ht="15" customHeight="1" x14ac:dyDescent="0.25">
      <c r="N4248" s="44"/>
      <c r="O4248" s="44"/>
      <c r="P4248" s="44"/>
      <c r="Q4248" s="44"/>
      <c r="R4248" s="44"/>
      <c r="S4248" s="44"/>
      <c r="T4248" s="44"/>
      <c r="U4248" s="44"/>
      <c r="V4248" s="44"/>
      <c r="W4248" s="44"/>
      <c r="X4248" s="44"/>
      <c r="Y4248" s="44"/>
    </row>
    <row r="4249" spans="14:25" ht="15" customHeight="1" x14ac:dyDescent="0.25">
      <c r="N4249" s="44"/>
      <c r="O4249" s="44"/>
      <c r="P4249" s="44"/>
      <c r="Q4249" s="44"/>
      <c r="R4249" s="44"/>
      <c r="S4249" s="44"/>
      <c r="T4249" s="44"/>
      <c r="U4249" s="44"/>
      <c r="V4249" s="44"/>
      <c r="W4249" s="44"/>
      <c r="X4249" s="44"/>
      <c r="Y4249" s="44"/>
    </row>
    <row r="4250" spans="14:25" ht="15" customHeight="1" x14ac:dyDescent="0.25">
      <c r="N4250" s="44"/>
      <c r="O4250" s="44"/>
      <c r="P4250" s="44"/>
      <c r="Q4250" s="44"/>
      <c r="R4250" s="44"/>
      <c r="S4250" s="44"/>
      <c r="T4250" s="44"/>
      <c r="U4250" s="44"/>
      <c r="V4250" s="44"/>
      <c r="W4250" s="44"/>
      <c r="X4250" s="44"/>
      <c r="Y4250" s="44"/>
    </row>
    <row r="4251" spans="14:25" ht="15" customHeight="1" x14ac:dyDescent="0.25">
      <c r="N4251" s="44"/>
      <c r="O4251" s="44"/>
      <c r="P4251" s="44"/>
      <c r="Q4251" s="44"/>
      <c r="R4251" s="44"/>
      <c r="S4251" s="44"/>
      <c r="T4251" s="44"/>
      <c r="U4251" s="44"/>
      <c r="V4251" s="44"/>
      <c r="W4251" s="44"/>
      <c r="X4251" s="44"/>
      <c r="Y4251" s="44"/>
    </row>
    <row r="4252" spans="14:25" ht="15" customHeight="1" x14ac:dyDescent="0.25">
      <c r="N4252" s="44"/>
      <c r="O4252" s="44"/>
      <c r="P4252" s="44"/>
      <c r="Q4252" s="44"/>
      <c r="R4252" s="44"/>
      <c r="S4252" s="44"/>
      <c r="T4252" s="44"/>
      <c r="U4252" s="44"/>
      <c r="V4252" s="44"/>
      <c r="W4252" s="44"/>
      <c r="X4252" s="44"/>
      <c r="Y4252" s="44"/>
    </row>
    <row r="4253" spans="14:25" ht="15" customHeight="1" x14ac:dyDescent="0.25">
      <c r="N4253" s="44"/>
      <c r="O4253" s="44"/>
      <c r="P4253" s="44"/>
      <c r="Q4253" s="44"/>
      <c r="R4253" s="44"/>
      <c r="S4253" s="44"/>
      <c r="T4253" s="44"/>
      <c r="U4253" s="44"/>
      <c r="V4253" s="44"/>
      <c r="W4253" s="44"/>
      <c r="X4253" s="44"/>
      <c r="Y4253" s="44"/>
    </row>
    <row r="4254" spans="14:25" ht="15" customHeight="1" x14ac:dyDescent="0.25">
      <c r="N4254" s="44"/>
      <c r="O4254" s="44"/>
      <c r="P4254" s="44"/>
      <c r="Q4254" s="44"/>
      <c r="R4254" s="44"/>
      <c r="S4254" s="44"/>
      <c r="T4254" s="44"/>
      <c r="U4254" s="44"/>
      <c r="V4254" s="44"/>
      <c r="W4254" s="44"/>
      <c r="X4254" s="44"/>
      <c r="Y4254" s="44"/>
    </row>
    <row r="4255" spans="14:25" ht="15" customHeight="1" x14ac:dyDescent="0.25">
      <c r="N4255" s="44"/>
      <c r="O4255" s="44"/>
      <c r="P4255" s="44"/>
      <c r="Q4255" s="44"/>
      <c r="R4255" s="44"/>
      <c r="S4255" s="44"/>
      <c r="T4255" s="44"/>
      <c r="U4255" s="44"/>
      <c r="V4255" s="44"/>
      <c r="W4255" s="44"/>
      <c r="X4255" s="44"/>
      <c r="Y4255" s="44"/>
    </row>
    <row r="4256" spans="14:25" ht="15" customHeight="1" x14ac:dyDescent="0.25">
      <c r="N4256" s="44"/>
      <c r="O4256" s="44"/>
      <c r="P4256" s="44"/>
      <c r="Q4256" s="44"/>
      <c r="R4256" s="44"/>
      <c r="S4256" s="44"/>
      <c r="T4256" s="44"/>
      <c r="U4256" s="44"/>
      <c r="V4256" s="44"/>
      <c r="W4256" s="44"/>
      <c r="X4256" s="44"/>
      <c r="Y4256" s="44"/>
    </row>
    <row r="4257" spans="14:25" ht="15" customHeight="1" x14ac:dyDescent="0.25">
      <c r="N4257" s="44"/>
      <c r="O4257" s="44"/>
      <c r="P4257" s="44"/>
      <c r="Q4257" s="44"/>
      <c r="R4257" s="44"/>
      <c r="S4257" s="44"/>
      <c r="T4257" s="44"/>
      <c r="U4257" s="44"/>
      <c r="V4257" s="44"/>
      <c r="W4257" s="44"/>
      <c r="X4257" s="44"/>
      <c r="Y4257" s="44"/>
    </row>
    <row r="4258" spans="14:25" ht="15" customHeight="1" x14ac:dyDescent="0.25">
      <c r="N4258" s="44"/>
      <c r="O4258" s="44"/>
      <c r="P4258" s="44"/>
      <c r="Q4258" s="44"/>
      <c r="R4258" s="44"/>
      <c r="S4258" s="44"/>
      <c r="T4258" s="44"/>
      <c r="U4258" s="44"/>
      <c r="V4258" s="44"/>
      <c r="W4258" s="44"/>
      <c r="X4258" s="44"/>
      <c r="Y4258" s="44"/>
    </row>
    <row r="4259" spans="14:25" ht="15" customHeight="1" x14ac:dyDescent="0.25">
      <c r="N4259" s="44"/>
      <c r="O4259" s="44"/>
      <c r="P4259" s="44"/>
      <c r="Q4259" s="44"/>
      <c r="R4259" s="44"/>
      <c r="S4259" s="44"/>
      <c r="T4259" s="44"/>
      <c r="U4259" s="44"/>
      <c r="V4259" s="44"/>
      <c r="W4259" s="44"/>
      <c r="X4259" s="44"/>
      <c r="Y4259" s="44"/>
    </row>
    <row r="4260" spans="14:25" ht="15" customHeight="1" x14ac:dyDescent="0.25">
      <c r="N4260" s="44"/>
      <c r="O4260" s="44"/>
      <c r="P4260" s="44"/>
      <c r="Q4260" s="44"/>
      <c r="R4260" s="44"/>
      <c r="S4260" s="44"/>
      <c r="T4260" s="44"/>
      <c r="U4260" s="44"/>
      <c r="V4260" s="44"/>
      <c r="W4260" s="44"/>
      <c r="X4260" s="44"/>
      <c r="Y4260" s="44"/>
    </row>
    <row r="4261" spans="14:25" ht="15" customHeight="1" x14ac:dyDescent="0.25">
      <c r="N4261" s="44"/>
      <c r="O4261" s="44"/>
      <c r="P4261" s="44"/>
      <c r="Q4261" s="44"/>
      <c r="R4261" s="44"/>
      <c r="S4261" s="44"/>
      <c r="T4261" s="44"/>
      <c r="U4261" s="44"/>
      <c r="V4261" s="44"/>
      <c r="W4261" s="44"/>
      <c r="X4261" s="44"/>
      <c r="Y4261" s="44"/>
    </row>
    <row r="4262" spans="14:25" ht="15" customHeight="1" x14ac:dyDescent="0.25">
      <c r="N4262" s="44"/>
      <c r="O4262" s="44"/>
      <c r="P4262" s="44"/>
      <c r="Q4262" s="44"/>
      <c r="R4262" s="44"/>
      <c r="S4262" s="44"/>
      <c r="T4262" s="44"/>
      <c r="U4262" s="44"/>
      <c r="V4262" s="44"/>
      <c r="W4262" s="44"/>
      <c r="X4262" s="44"/>
      <c r="Y4262" s="44"/>
    </row>
    <row r="4263" spans="14:25" ht="15" customHeight="1" x14ac:dyDescent="0.25">
      <c r="N4263" s="44"/>
      <c r="O4263" s="44"/>
      <c r="P4263" s="44"/>
      <c r="Q4263" s="44"/>
      <c r="R4263" s="44"/>
      <c r="S4263" s="44"/>
      <c r="T4263" s="44"/>
      <c r="U4263" s="44"/>
      <c r="V4263" s="44"/>
      <c r="W4263" s="44"/>
      <c r="X4263" s="44"/>
      <c r="Y4263" s="44"/>
    </row>
    <row r="4264" spans="14:25" ht="15" customHeight="1" x14ac:dyDescent="0.25">
      <c r="N4264" s="44"/>
      <c r="O4264" s="44"/>
      <c r="P4264" s="44"/>
      <c r="Q4264" s="44"/>
      <c r="R4264" s="44"/>
      <c r="S4264" s="44"/>
      <c r="T4264" s="44"/>
      <c r="U4264" s="44"/>
      <c r="V4264" s="44"/>
      <c r="W4264" s="44"/>
      <c r="X4264" s="44"/>
      <c r="Y4264" s="44"/>
    </row>
    <row r="4265" spans="14:25" ht="15" customHeight="1" x14ac:dyDescent="0.25">
      <c r="N4265" s="44"/>
      <c r="O4265" s="44"/>
      <c r="P4265" s="44"/>
      <c r="Q4265" s="44"/>
      <c r="R4265" s="44"/>
      <c r="S4265" s="44"/>
      <c r="T4265" s="44"/>
      <c r="U4265" s="44"/>
      <c r="V4265" s="44"/>
      <c r="W4265" s="44"/>
      <c r="X4265" s="44"/>
      <c r="Y4265" s="44"/>
    </row>
    <row r="4266" spans="14:25" ht="15" customHeight="1" x14ac:dyDescent="0.25">
      <c r="N4266" s="44"/>
      <c r="O4266" s="44"/>
      <c r="P4266" s="44"/>
      <c r="Q4266" s="44"/>
      <c r="R4266" s="44"/>
      <c r="S4266" s="44"/>
      <c r="T4266" s="44"/>
      <c r="U4266" s="44"/>
      <c r="V4266" s="44"/>
      <c r="W4266" s="44"/>
      <c r="X4266" s="44"/>
      <c r="Y4266" s="44"/>
    </row>
    <row r="4267" spans="14:25" ht="15" customHeight="1" x14ac:dyDescent="0.25">
      <c r="N4267" s="44"/>
      <c r="O4267" s="44"/>
      <c r="P4267" s="44"/>
      <c r="Q4267" s="44"/>
      <c r="R4267" s="44"/>
      <c r="S4267" s="44"/>
      <c r="T4267" s="44"/>
      <c r="U4267" s="44"/>
      <c r="V4267" s="44"/>
      <c r="W4267" s="44"/>
      <c r="X4267" s="44"/>
      <c r="Y4267" s="44"/>
    </row>
    <row r="4268" spans="14:25" ht="15" customHeight="1" x14ac:dyDescent="0.25">
      <c r="N4268" s="44"/>
      <c r="O4268" s="44"/>
      <c r="P4268" s="44"/>
      <c r="Q4268" s="44"/>
      <c r="R4268" s="44"/>
      <c r="S4268" s="44"/>
      <c r="T4268" s="44"/>
      <c r="U4268" s="44"/>
      <c r="V4268" s="44"/>
      <c r="W4268" s="44"/>
      <c r="X4268" s="44"/>
      <c r="Y4268" s="44"/>
    </row>
    <row r="4269" spans="14:25" ht="15" customHeight="1" x14ac:dyDescent="0.25">
      <c r="N4269" s="44"/>
      <c r="O4269" s="44"/>
      <c r="P4269" s="44"/>
      <c r="Q4269" s="44"/>
      <c r="R4269" s="44"/>
      <c r="S4269" s="44"/>
      <c r="T4269" s="44"/>
      <c r="U4269" s="44"/>
      <c r="V4269" s="44"/>
      <c r="W4269" s="44"/>
      <c r="X4269" s="44"/>
      <c r="Y4269" s="44"/>
    </row>
    <row r="4270" spans="14:25" ht="15" customHeight="1" x14ac:dyDescent="0.25">
      <c r="N4270" s="44"/>
      <c r="O4270" s="44"/>
      <c r="P4270" s="44"/>
      <c r="Q4270" s="44"/>
      <c r="R4270" s="44"/>
      <c r="S4270" s="44"/>
      <c r="T4270" s="44"/>
      <c r="U4270" s="44"/>
      <c r="V4270" s="44"/>
      <c r="W4270" s="44"/>
      <c r="X4270" s="44"/>
      <c r="Y4270" s="44"/>
    </row>
    <row r="4271" spans="14:25" ht="15" customHeight="1" x14ac:dyDescent="0.25">
      <c r="N4271" s="44"/>
      <c r="O4271" s="44"/>
      <c r="P4271" s="44"/>
      <c r="Q4271" s="44"/>
      <c r="R4271" s="44"/>
      <c r="S4271" s="44"/>
      <c r="T4271" s="44"/>
      <c r="U4271" s="44"/>
      <c r="V4271" s="44"/>
      <c r="W4271" s="44"/>
      <c r="X4271" s="44"/>
      <c r="Y4271" s="44"/>
    </row>
    <row r="4272" spans="14:25" ht="15" customHeight="1" x14ac:dyDescent="0.25">
      <c r="N4272" s="44"/>
      <c r="O4272" s="44"/>
      <c r="P4272" s="44"/>
      <c r="Q4272" s="44"/>
      <c r="R4272" s="44"/>
      <c r="S4272" s="44"/>
      <c r="T4272" s="44"/>
      <c r="U4272" s="44"/>
      <c r="V4272" s="44"/>
      <c r="W4272" s="44"/>
      <c r="X4272" s="44"/>
      <c r="Y4272" s="44"/>
    </row>
    <row r="4273" spans="14:25" ht="15" customHeight="1" x14ac:dyDescent="0.25">
      <c r="N4273" s="44"/>
      <c r="O4273" s="44"/>
      <c r="P4273" s="44"/>
      <c r="Q4273" s="44"/>
      <c r="R4273" s="44"/>
      <c r="S4273" s="44"/>
      <c r="T4273" s="44"/>
      <c r="U4273" s="44"/>
      <c r="V4273" s="44"/>
      <c r="W4273" s="44"/>
      <c r="X4273" s="44"/>
      <c r="Y4273" s="44"/>
    </row>
    <row r="4274" spans="14:25" ht="15" customHeight="1" x14ac:dyDescent="0.25">
      <c r="N4274" s="44"/>
      <c r="O4274" s="44"/>
      <c r="P4274" s="44"/>
      <c r="Q4274" s="44"/>
      <c r="R4274" s="44"/>
      <c r="S4274" s="44"/>
      <c r="T4274" s="44"/>
      <c r="U4274" s="44"/>
      <c r="V4274" s="44"/>
      <c r="W4274" s="44"/>
      <c r="X4274" s="44"/>
      <c r="Y4274" s="44"/>
    </row>
    <row r="4275" spans="14:25" ht="15" customHeight="1" x14ac:dyDescent="0.25">
      <c r="N4275" s="44"/>
      <c r="O4275" s="44"/>
      <c r="P4275" s="44"/>
      <c r="Q4275" s="44"/>
      <c r="R4275" s="44"/>
      <c r="S4275" s="44"/>
      <c r="T4275" s="44"/>
      <c r="U4275" s="44"/>
      <c r="V4275" s="44"/>
      <c r="W4275" s="44"/>
      <c r="X4275" s="44"/>
      <c r="Y4275" s="44"/>
    </row>
    <row r="4276" spans="14:25" ht="15" customHeight="1" x14ac:dyDescent="0.25">
      <c r="N4276" s="44"/>
      <c r="O4276" s="44"/>
      <c r="P4276" s="44"/>
      <c r="Q4276" s="44"/>
      <c r="R4276" s="44"/>
      <c r="S4276" s="44"/>
      <c r="T4276" s="44"/>
      <c r="U4276" s="44"/>
      <c r="V4276" s="44"/>
      <c r="W4276" s="44"/>
      <c r="X4276" s="44"/>
      <c r="Y4276" s="44"/>
    </row>
    <row r="4277" spans="14:25" ht="15" customHeight="1" x14ac:dyDescent="0.25">
      <c r="N4277" s="44"/>
      <c r="O4277" s="44"/>
      <c r="P4277" s="44"/>
      <c r="Q4277" s="44"/>
      <c r="R4277" s="44"/>
      <c r="S4277" s="44"/>
      <c r="T4277" s="44"/>
      <c r="U4277" s="44"/>
      <c r="V4277" s="44"/>
      <c r="W4277" s="44"/>
      <c r="X4277" s="44"/>
      <c r="Y4277" s="44"/>
    </row>
    <row r="4278" spans="14:25" ht="15" customHeight="1" x14ac:dyDescent="0.25">
      <c r="N4278" s="44"/>
      <c r="O4278" s="44"/>
      <c r="P4278" s="44"/>
      <c r="Q4278" s="44"/>
      <c r="R4278" s="44"/>
      <c r="S4278" s="44"/>
      <c r="T4278" s="44"/>
      <c r="U4278" s="44"/>
      <c r="V4278" s="44"/>
      <c r="W4278" s="44"/>
      <c r="X4278" s="44"/>
      <c r="Y4278" s="44"/>
    </row>
    <row r="4279" spans="14:25" ht="15" customHeight="1" x14ac:dyDescent="0.25">
      <c r="N4279" s="44"/>
      <c r="O4279" s="44"/>
      <c r="P4279" s="44"/>
      <c r="Q4279" s="44"/>
      <c r="R4279" s="44"/>
      <c r="S4279" s="44"/>
      <c r="T4279" s="44"/>
      <c r="U4279" s="44"/>
      <c r="V4279" s="44"/>
      <c r="W4279" s="44"/>
      <c r="X4279" s="44"/>
      <c r="Y4279" s="44"/>
    </row>
    <row r="4280" spans="14:25" ht="15" customHeight="1" x14ac:dyDescent="0.25">
      <c r="N4280" s="44"/>
      <c r="O4280" s="44"/>
      <c r="P4280" s="44"/>
      <c r="Q4280" s="44"/>
      <c r="R4280" s="44"/>
      <c r="S4280" s="44"/>
      <c r="T4280" s="44"/>
      <c r="U4280" s="44"/>
      <c r="V4280" s="44"/>
      <c r="W4280" s="44"/>
      <c r="X4280" s="44"/>
      <c r="Y4280" s="44"/>
    </row>
    <row r="4281" spans="14:25" ht="15" customHeight="1" x14ac:dyDescent="0.25">
      <c r="N4281" s="44"/>
      <c r="O4281" s="44"/>
      <c r="P4281" s="44"/>
      <c r="Q4281" s="44"/>
      <c r="R4281" s="44"/>
      <c r="S4281" s="44"/>
      <c r="T4281" s="44"/>
      <c r="U4281" s="44"/>
      <c r="V4281" s="44"/>
      <c r="W4281" s="44"/>
      <c r="X4281" s="44"/>
      <c r="Y4281" s="44"/>
    </row>
    <row r="4282" spans="14:25" ht="15" customHeight="1" x14ac:dyDescent="0.25">
      <c r="N4282" s="44"/>
      <c r="O4282" s="44"/>
      <c r="P4282" s="44"/>
      <c r="Q4282" s="44"/>
      <c r="R4282" s="44"/>
      <c r="S4282" s="44"/>
      <c r="T4282" s="44"/>
      <c r="U4282" s="44"/>
      <c r="V4282" s="44"/>
      <c r="W4282" s="44"/>
      <c r="X4282" s="44"/>
      <c r="Y4282" s="44"/>
    </row>
    <row r="4283" spans="14:25" ht="15" customHeight="1" x14ac:dyDescent="0.25">
      <c r="N4283" s="44"/>
      <c r="O4283" s="44"/>
      <c r="P4283" s="44"/>
      <c r="Q4283" s="44"/>
      <c r="R4283" s="44"/>
      <c r="S4283" s="44"/>
      <c r="T4283" s="44"/>
      <c r="U4283" s="44"/>
      <c r="V4283" s="44"/>
      <c r="W4283" s="44"/>
      <c r="X4283" s="44"/>
      <c r="Y4283" s="44"/>
    </row>
    <row r="4284" spans="14:25" ht="15" customHeight="1" x14ac:dyDescent="0.25">
      <c r="N4284" s="44"/>
      <c r="O4284" s="44"/>
      <c r="P4284" s="44"/>
      <c r="Q4284" s="44"/>
      <c r="R4284" s="44"/>
      <c r="S4284" s="44"/>
      <c r="T4284" s="44"/>
      <c r="U4284" s="44"/>
      <c r="V4284" s="44"/>
      <c r="W4284" s="44"/>
      <c r="X4284" s="44"/>
      <c r="Y4284" s="44"/>
    </row>
    <row r="4285" spans="14:25" ht="15" customHeight="1" x14ac:dyDescent="0.25">
      <c r="N4285" s="44"/>
      <c r="O4285" s="44"/>
      <c r="P4285" s="44"/>
      <c r="Q4285" s="44"/>
      <c r="R4285" s="44"/>
      <c r="S4285" s="44"/>
      <c r="T4285" s="44"/>
      <c r="U4285" s="44"/>
      <c r="V4285" s="44"/>
      <c r="W4285" s="44"/>
      <c r="X4285" s="44"/>
      <c r="Y4285" s="44"/>
    </row>
    <row r="4286" spans="14:25" ht="15" customHeight="1" x14ac:dyDescent="0.25">
      <c r="N4286" s="44"/>
      <c r="O4286" s="44"/>
      <c r="P4286" s="44"/>
      <c r="Q4286" s="44"/>
      <c r="R4286" s="44"/>
      <c r="S4286" s="44"/>
      <c r="T4286" s="44"/>
      <c r="U4286" s="44"/>
      <c r="V4286" s="44"/>
      <c r="W4286" s="44"/>
      <c r="X4286" s="44"/>
      <c r="Y4286" s="44"/>
    </row>
    <row r="4287" spans="14:25" ht="15" customHeight="1" x14ac:dyDescent="0.25">
      <c r="N4287" s="44"/>
      <c r="O4287" s="44"/>
      <c r="P4287" s="44"/>
      <c r="Q4287" s="44"/>
      <c r="R4287" s="44"/>
      <c r="S4287" s="44"/>
      <c r="T4287" s="44"/>
      <c r="U4287" s="44"/>
      <c r="V4287" s="44"/>
      <c r="W4287" s="44"/>
      <c r="X4287" s="44"/>
      <c r="Y4287" s="44"/>
    </row>
    <row r="4288" spans="14:25" ht="15" customHeight="1" x14ac:dyDescent="0.25">
      <c r="N4288" s="44"/>
      <c r="O4288" s="44"/>
      <c r="P4288" s="44"/>
      <c r="Q4288" s="44"/>
      <c r="R4288" s="44"/>
      <c r="S4288" s="44"/>
      <c r="T4288" s="44"/>
      <c r="U4288" s="44"/>
      <c r="V4288" s="44"/>
      <c r="W4288" s="44"/>
      <c r="X4288" s="44"/>
      <c r="Y4288" s="44"/>
    </row>
    <row r="4289" spans="14:25" ht="15" customHeight="1" x14ac:dyDescent="0.25">
      <c r="N4289" s="44"/>
      <c r="O4289" s="44"/>
      <c r="P4289" s="44"/>
      <c r="Q4289" s="44"/>
      <c r="R4289" s="44"/>
      <c r="S4289" s="44"/>
      <c r="T4289" s="44"/>
      <c r="U4289" s="44"/>
      <c r="V4289" s="44"/>
      <c r="W4289" s="44"/>
      <c r="X4289" s="44"/>
      <c r="Y4289" s="44"/>
    </row>
    <row r="4290" spans="14:25" ht="15" customHeight="1" x14ac:dyDescent="0.25">
      <c r="N4290" s="44"/>
      <c r="O4290" s="44"/>
      <c r="P4290" s="44"/>
      <c r="Q4290" s="44"/>
      <c r="R4290" s="44"/>
      <c r="S4290" s="44"/>
      <c r="T4290" s="44"/>
      <c r="U4290" s="44"/>
      <c r="V4290" s="44"/>
      <c r="W4290" s="44"/>
      <c r="X4290" s="44"/>
      <c r="Y4290" s="44"/>
    </row>
    <row r="4291" spans="14:25" ht="15" customHeight="1" x14ac:dyDescent="0.25">
      <c r="N4291" s="44"/>
      <c r="O4291" s="44"/>
      <c r="P4291" s="44"/>
      <c r="Q4291" s="44"/>
      <c r="R4291" s="44"/>
      <c r="S4291" s="44"/>
      <c r="T4291" s="44"/>
      <c r="U4291" s="44"/>
      <c r="V4291" s="44"/>
      <c r="W4291" s="44"/>
      <c r="X4291" s="44"/>
      <c r="Y4291" s="44"/>
    </row>
    <row r="4292" spans="14:25" ht="15" customHeight="1" x14ac:dyDescent="0.25">
      <c r="N4292" s="44"/>
      <c r="O4292" s="44"/>
      <c r="P4292" s="44"/>
      <c r="Q4292" s="44"/>
      <c r="R4292" s="44"/>
      <c r="S4292" s="44"/>
      <c r="T4292" s="44"/>
      <c r="U4292" s="44"/>
      <c r="V4292" s="44"/>
      <c r="W4292" s="44"/>
      <c r="X4292" s="44"/>
      <c r="Y4292" s="44"/>
    </row>
    <row r="4293" spans="14:25" ht="15" customHeight="1" x14ac:dyDescent="0.25">
      <c r="N4293" s="44"/>
      <c r="O4293" s="44"/>
      <c r="P4293" s="44"/>
      <c r="Q4293" s="44"/>
      <c r="R4293" s="44"/>
      <c r="S4293" s="44"/>
      <c r="T4293" s="44"/>
      <c r="U4293" s="44"/>
      <c r="V4293" s="44"/>
      <c r="W4293" s="44"/>
      <c r="X4293" s="44"/>
      <c r="Y4293" s="44"/>
    </row>
    <row r="4294" spans="14:25" ht="15" customHeight="1" x14ac:dyDescent="0.25">
      <c r="N4294" s="44"/>
      <c r="O4294" s="44"/>
      <c r="P4294" s="44"/>
      <c r="Q4294" s="44"/>
      <c r="R4294" s="44"/>
      <c r="S4294" s="44"/>
      <c r="T4294" s="44"/>
      <c r="U4294" s="44"/>
      <c r="V4294" s="44"/>
      <c r="W4294" s="44"/>
      <c r="X4294" s="44"/>
      <c r="Y4294" s="44"/>
    </row>
    <row r="4295" spans="14:25" ht="15" customHeight="1" x14ac:dyDescent="0.25">
      <c r="N4295" s="44"/>
      <c r="O4295" s="44"/>
      <c r="P4295" s="44"/>
      <c r="Q4295" s="44"/>
      <c r="R4295" s="44"/>
      <c r="S4295" s="44"/>
      <c r="T4295" s="44"/>
      <c r="U4295" s="44"/>
      <c r="V4295" s="44"/>
      <c r="W4295" s="44"/>
      <c r="X4295" s="44"/>
      <c r="Y4295" s="44"/>
    </row>
    <row r="4296" spans="14:25" ht="15" customHeight="1" x14ac:dyDescent="0.25">
      <c r="N4296" s="44"/>
      <c r="O4296" s="44"/>
      <c r="P4296" s="44"/>
      <c r="Q4296" s="44"/>
      <c r="R4296" s="44"/>
      <c r="S4296" s="44"/>
      <c r="T4296" s="44"/>
      <c r="U4296" s="44"/>
      <c r="V4296" s="44"/>
      <c r="W4296" s="44"/>
      <c r="X4296" s="44"/>
      <c r="Y4296" s="44"/>
    </row>
    <row r="4297" spans="14:25" ht="15" customHeight="1" x14ac:dyDescent="0.25">
      <c r="N4297" s="44"/>
      <c r="O4297" s="44"/>
      <c r="P4297" s="44"/>
      <c r="Q4297" s="44"/>
      <c r="R4297" s="44"/>
      <c r="S4297" s="44"/>
      <c r="T4297" s="44"/>
      <c r="U4297" s="44"/>
      <c r="V4297" s="44"/>
      <c r="W4297" s="44"/>
      <c r="X4297" s="44"/>
      <c r="Y4297" s="44"/>
    </row>
    <row r="4298" spans="14:25" ht="15" customHeight="1" x14ac:dyDescent="0.25">
      <c r="N4298" s="44"/>
      <c r="O4298" s="44"/>
      <c r="P4298" s="44"/>
      <c r="Q4298" s="44"/>
      <c r="R4298" s="44"/>
      <c r="S4298" s="44"/>
      <c r="T4298" s="44"/>
      <c r="U4298" s="44"/>
      <c r="V4298" s="44"/>
      <c r="W4298" s="44"/>
      <c r="X4298" s="44"/>
      <c r="Y4298" s="44"/>
    </row>
    <row r="4299" spans="14:25" ht="15" customHeight="1" x14ac:dyDescent="0.25">
      <c r="N4299" s="44"/>
      <c r="O4299" s="44"/>
      <c r="P4299" s="44"/>
      <c r="Q4299" s="44"/>
      <c r="R4299" s="44"/>
      <c r="S4299" s="44"/>
      <c r="T4299" s="44"/>
      <c r="U4299" s="44"/>
      <c r="V4299" s="44"/>
      <c r="W4299" s="44"/>
      <c r="X4299" s="44"/>
      <c r="Y4299" s="44"/>
    </row>
    <row r="4300" spans="14:25" ht="15" customHeight="1" x14ac:dyDescent="0.25">
      <c r="N4300" s="44"/>
      <c r="O4300" s="44"/>
      <c r="P4300" s="44"/>
      <c r="Q4300" s="44"/>
      <c r="R4300" s="44"/>
      <c r="S4300" s="44"/>
      <c r="T4300" s="44"/>
      <c r="U4300" s="44"/>
      <c r="V4300" s="44"/>
      <c r="W4300" s="44"/>
      <c r="X4300" s="44"/>
      <c r="Y4300" s="44"/>
    </row>
    <row r="4301" spans="14:25" ht="15" customHeight="1" x14ac:dyDescent="0.25">
      <c r="N4301" s="44"/>
      <c r="O4301" s="44"/>
      <c r="P4301" s="44"/>
      <c r="Q4301" s="44"/>
      <c r="R4301" s="44"/>
      <c r="S4301" s="44"/>
      <c r="T4301" s="44"/>
      <c r="U4301" s="44"/>
      <c r="V4301" s="44"/>
      <c r="W4301" s="44"/>
      <c r="X4301" s="44"/>
      <c r="Y4301" s="44"/>
    </row>
    <row r="4302" spans="14:25" ht="15" customHeight="1" x14ac:dyDescent="0.25">
      <c r="N4302" s="44"/>
      <c r="O4302" s="44"/>
      <c r="P4302" s="44"/>
      <c r="Q4302" s="44"/>
      <c r="R4302" s="44"/>
      <c r="S4302" s="44"/>
      <c r="T4302" s="44"/>
      <c r="U4302" s="44"/>
      <c r="V4302" s="44"/>
      <c r="W4302" s="44"/>
      <c r="X4302" s="44"/>
      <c r="Y4302" s="44"/>
    </row>
    <row r="4303" spans="14:25" ht="15" customHeight="1" x14ac:dyDescent="0.25">
      <c r="N4303" s="44"/>
      <c r="O4303" s="44"/>
      <c r="P4303" s="44"/>
      <c r="Q4303" s="44"/>
      <c r="R4303" s="44"/>
      <c r="S4303" s="44"/>
      <c r="T4303" s="44"/>
      <c r="U4303" s="44"/>
      <c r="V4303" s="44"/>
      <c r="W4303" s="44"/>
      <c r="X4303" s="44"/>
      <c r="Y4303" s="44"/>
    </row>
    <row r="4304" spans="14:25" ht="15" customHeight="1" x14ac:dyDescent="0.25">
      <c r="N4304" s="44"/>
      <c r="O4304" s="44"/>
      <c r="P4304" s="44"/>
      <c r="Q4304" s="44"/>
      <c r="R4304" s="44"/>
      <c r="S4304" s="44"/>
      <c r="T4304" s="44"/>
      <c r="U4304" s="44"/>
      <c r="V4304" s="44"/>
      <c r="W4304" s="44"/>
      <c r="X4304" s="44"/>
      <c r="Y4304" s="44"/>
    </row>
    <row r="4305" spans="14:25" ht="15" customHeight="1" x14ac:dyDescent="0.25">
      <c r="N4305" s="44"/>
      <c r="O4305" s="44"/>
      <c r="P4305" s="44"/>
      <c r="Q4305" s="44"/>
      <c r="R4305" s="44"/>
      <c r="S4305" s="44"/>
      <c r="T4305" s="44"/>
      <c r="U4305" s="44"/>
      <c r="V4305" s="44"/>
      <c r="W4305" s="44"/>
      <c r="X4305" s="44"/>
      <c r="Y4305" s="44"/>
    </row>
    <row r="4306" spans="14:25" ht="15" customHeight="1" x14ac:dyDescent="0.25">
      <c r="N4306" s="44"/>
      <c r="O4306" s="44"/>
      <c r="P4306" s="44"/>
      <c r="Q4306" s="44"/>
      <c r="R4306" s="44"/>
      <c r="S4306" s="44"/>
      <c r="T4306" s="44"/>
      <c r="U4306" s="44"/>
      <c r="V4306" s="44"/>
      <c r="W4306" s="44"/>
      <c r="X4306" s="44"/>
      <c r="Y4306" s="44"/>
    </row>
    <row r="4307" spans="14:25" ht="15" customHeight="1" x14ac:dyDescent="0.25">
      <c r="N4307" s="44"/>
      <c r="O4307" s="44"/>
      <c r="P4307" s="44"/>
      <c r="Q4307" s="44"/>
      <c r="R4307" s="44"/>
      <c r="S4307" s="44"/>
      <c r="T4307" s="44"/>
      <c r="U4307" s="44"/>
      <c r="V4307" s="44"/>
      <c r="W4307" s="44"/>
      <c r="X4307" s="44"/>
      <c r="Y4307" s="44"/>
    </row>
    <row r="4308" spans="14:25" ht="15" customHeight="1" x14ac:dyDescent="0.25">
      <c r="N4308" s="44"/>
      <c r="O4308" s="44"/>
      <c r="P4308" s="44"/>
      <c r="Q4308" s="44"/>
      <c r="R4308" s="44"/>
      <c r="S4308" s="44"/>
      <c r="T4308" s="44"/>
      <c r="U4308" s="44"/>
      <c r="V4308" s="44"/>
      <c r="W4308" s="44"/>
      <c r="X4308" s="44"/>
      <c r="Y4308" s="44"/>
    </row>
    <row r="4309" spans="14:25" ht="15" customHeight="1" x14ac:dyDescent="0.25">
      <c r="N4309" s="44"/>
      <c r="O4309" s="44"/>
      <c r="P4309" s="44"/>
      <c r="Q4309" s="44"/>
      <c r="R4309" s="44"/>
      <c r="S4309" s="44"/>
      <c r="T4309" s="44"/>
      <c r="U4309" s="44"/>
      <c r="V4309" s="44"/>
      <c r="W4309" s="44"/>
      <c r="X4309" s="44"/>
      <c r="Y4309" s="44"/>
    </row>
    <row r="4310" spans="14:25" ht="15" customHeight="1" x14ac:dyDescent="0.25">
      <c r="N4310" s="44"/>
      <c r="O4310" s="44"/>
      <c r="P4310" s="44"/>
      <c r="Q4310" s="44"/>
      <c r="R4310" s="44"/>
      <c r="S4310" s="44"/>
      <c r="T4310" s="44"/>
      <c r="U4310" s="44"/>
      <c r="V4310" s="44"/>
      <c r="W4310" s="44"/>
      <c r="X4310" s="44"/>
      <c r="Y4310" s="44"/>
    </row>
    <row r="4311" spans="14:25" ht="15" customHeight="1" x14ac:dyDescent="0.25">
      <c r="N4311" s="44"/>
      <c r="O4311" s="44"/>
      <c r="P4311" s="44"/>
      <c r="Q4311" s="44"/>
      <c r="R4311" s="44"/>
      <c r="S4311" s="44"/>
      <c r="T4311" s="44"/>
      <c r="U4311" s="44"/>
      <c r="V4311" s="44"/>
      <c r="W4311" s="44"/>
      <c r="X4311" s="44"/>
      <c r="Y4311" s="44"/>
    </row>
    <row r="4312" spans="14:25" ht="15" customHeight="1" x14ac:dyDescent="0.25">
      <c r="N4312" s="44"/>
      <c r="O4312" s="44"/>
      <c r="P4312" s="44"/>
      <c r="Q4312" s="44"/>
      <c r="R4312" s="44"/>
      <c r="S4312" s="44"/>
      <c r="T4312" s="44"/>
      <c r="U4312" s="44"/>
      <c r="V4312" s="44"/>
      <c r="W4312" s="44"/>
      <c r="X4312" s="44"/>
      <c r="Y4312" s="44"/>
    </row>
    <row r="4313" spans="14:25" ht="15" customHeight="1" x14ac:dyDescent="0.25">
      <c r="N4313" s="44"/>
      <c r="O4313" s="44"/>
      <c r="P4313" s="44"/>
      <c r="Q4313" s="44"/>
      <c r="R4313" s="44"/>
      <c r="S4313" s="44"/>
      <c r="T4313" s="44"/>
      <c r="U4313" s="44"/>
      <c r="V4313" s="44"/>
      <c r="W4313" s="44"/>
      <c r="X4313" s="44"/>
      <c r="Y4313" s="44"/>
    </row>
    <row r="4314" spans="14:25" ht="15" customHeight="1" x14ac:dyDescent="0.25">
      <c r="N4314" s="44"/>
      <c r="O4314" s="44"/>
      <c r="P4314" s="44"/>
      <c r="Q4314" s="44"/>
      <c r="R4314" s="44"/>
      <c r="S4314" s="44"/>
      <c r="T4314" s="44"/>
      <c r="U4314" s="44"/>
      <c r="V4314" s="44"/>
      <c r="W4314" s="44"/>
      <c r="X4314" s="44"/>
      <c r="Y4314" s="44"/>
    </row>
    <row r="4315" spans="14:25" ht="15" customHeight="1" x14ac:dyDescent="0.25">
      <c r="N4315" s="44"/>
      <c r="O4315" s="44"/>
      <c r="P4315" s="44"/>
      <c r="Q4315" s="44"/>
      <c r="R4315" s="44"/>
      <c r="S4315" s="44"/>
      <c r="T4315" s="44"/>
      <c r="U4315" s="44"/>
      <c r="V4315" s="44"/>
      <c r="W4315" s="44"/>
      <c r="X4315" s="44"/>
      <c r="Y4315" s="44"/>
    </row>
    <row r="4316" spans="14:25" ht="15" customHeight="1" x14ac:dyDescent="0.25">
      <c r="N4316" s="44"/>
      <c r="O4316" s="44"/>
      <c r="P4316" s="44"/>
      <c r="Q4316" s="44"/>
      <c r="R4316" s="44"/>
      <c r="S4316" s="44"/>
      <c r="T4316" s="44"/>
      <c r="U4316" s="44"/>
      <c r="V4316" s="44"/>
      <c r="W4316" s="44"/>
      <c r="X4316" s="44"/>
      <c r="Y4316" s="44"/>
    </row>
    <row r="4317" spans="14:25" ht="15" customHeight="1" x14ac:dyDescent="0.25">
      <c r="N4317" s="44"/>
      <c r="O4317" s="44"/>
      <c r="P4317" s="44"/>
      <c r="Q4317" s="44"/>
      <c r="R4317" s="44"/>
      <c r="S4317" s="44"/>
      <c r="T4317" s="44"/>
      <c r="U4317" s="44"/>
      <c r="V4317" s="44"/>
      <c r="W4317" s="44"/>
      <c r="X4317" s="44"/>
      <c r="Y4317" s="44"/>
    </row>
    <row r="4318" spans="14:25" ht="15" customHeight="1" x14ac:dyDescent="0.25">
      <c r="N4318" s="44"/>
      <c r="O4318" s="44"/>
      <c r="P4318" s="44"/>
      <c r="Q4318" s="44"/>
      <c r="R4318" s="44"/>
      <c r="S4318" s="44"/>
      <c r="T4318" s="44"/>
      <c r="U4318" s="44"/>
      <c r="V4318" s="44"/>
      <c r="W4318" s="44"/>
      <c r="X4318" s="44"/>
      <c r="Y4318" s="44"/>
    </row>
    <row r="4319" spans="14:25" ht="15" customHeight="1" x14ac:dyDescent="0.25">
      <c r="N4319" s="44"/>
      <c r="O4319" s="44"/>
      <c r="P4319" s="44"/>
      <c r="Q4319" s="44"/>
      <c r="R4319" s="44"/>
      <c r="S4319" s="44"/>
      <c r="T4319" s="44"/>
      <c r="U4319" s="44"/>
      <c r="V4319" s="44"/>
      <c r="W4319" s="44"/>
      <c r="X4319" s="44"/>
      <c r="Y4319" s="44"/>
    </row>
    <row r="4320" spans="14:25" ht="15" customHeight="1" x14ac:dyDescent="0.25">
      <c r="N4320" s="44"/>
      <c r="O4320" s="44"/>
      <c r="P4320" s="44"/>
      <c r="Q4320" s="44"/>
      <c r="R4320" s="44"/>
      <c r="S4320" s="44"/>
      <c r="T4320" s="44"/>
      <c r="U4320" s="44"/>
      <c r="V4320" s="44"/>
      <c r="W4320" s="44"/>
      <c r="X4320" s="44"/>
      <c r="Y4320" s="44"/>
    </row>
    <row r="4321" spans="14:25" ht="15" customHeight="1" x14ac:dyDescent="0.25">
      <c r="N4321" s="44"/>
      <c r="O4321" s="44"/>
      <c r="P4321" s="44"/>
      <c r="Q4321" s="44"/>
      <c r="R4321" s="44"/>
      <c r="S4321" s="44"/>
      <c r="T4321" s="44"/>
      <c r="U4321" s="44"/>
      <c r="V4321" s="44"/>
      <c r="W4321" s="44"/>
      <c r="X4321" s="44"/>
      <c r="Y4321" s="44"/>
    </row>
    <row r="4322" spans="14:25" ht="15" customHeight="1" x14ac:dyDescent="0.25">
      <c r="N4322" s="44"/>
      <c r="O4322" s="44"/>
      <c r="P4322" s="44"/>
      <c r="Q4322" s="44"/>
      <c r="R4322" s="44"/>
      <c r="S4322" s="44"/>
      <c r="T4322" s="44"/>
      <c r="U4322" s="44"/>
      <c r="V4322" s="44"/>
      <c r="W4322" s="44"/>
      <c r="X4322" s="44"/>
      <c r="Y4322" s="44"/>
    </row>
    <row r="4323" spans="14:25" ht="15" customHeight="1" x14ac:dyDescent="0.25">
      <c r="N4323" s="44"/>
      <c r="O4323" s="44"/>
      <c r="P4323" s="44"/>
      <c r="Q4323" s="44"/>
      <c r="R4323" s="44"/>
      <c r="S4323" s="44"/>
      <c r="T4323" s="44"/>
      <c r="U4323" s="44"/>
      <c r="V4323" s="44"/>
      <c r="W4323" s="44"/>
      <c r="X4323" s="44"/>
      <c r="Y4323" s="44"/>
    </row>
    <row r="4324" spans="14:25" ht="15" customHeight="1" x14ac:dyDescent="0.25">
      <c r="N4324" s="44"/>
      <c r="O4324" s="44"/>
      <c r="P4324" s="44"/>
      <c r="Q4324" s="44"/>
      <c r="R4324" s="44"/>
      <c r="S4324" s="44"/>
      <c r="T4324" s="44"/>
      <c r="U4324" s="44"/>
      <c r="V4324" s="44"/>
      <c r="W4324" s="44"/>
      <c r="X4324" s="44"/>
      <c r="Y4324" s="44"/>
    </row>
    <row r="4325" spans="14:25" ht="15" customHeight="1" x14ac:dyDescent="0.25">
      <c r="N4325" s="44"/>
      <c r="O4325" s="44"/>
      <c r="P4325" s="44"/>
      <c r="Q4325" s="44"/>
      <c r="R4325" s="44"/>
      <c r="S4325" s="44"/>
      <c r="T4325" s="44"/>
      <c r="U4325" s="44"/>
      <c r="V4325" s="44"/>
      <c r="W4325" s="44"/>
      <c r="X4325" s="44"/>
      <c r="Y4325" s="44"/>
    </row>
    <row r="4326" spans="14:25" ht="15" customHeight="1" x14ac:dyDescent="0.25">
      <c r="N4326" s="44"/>
      <c r="O4326" s="44"/>
      <c r="P4326" s="44"/>
      <c r="Q4326" s="44"/>
      <c r="R4326" s="44"/>
      <c r="S4326" s="44"/>
      <c r="T4326" s="44"/>
      <c r="U4326" s="44"/>
      <c r="V4326" s="44"/>
      <c r="W4326" s="44"/>
      <c r="X4326" s="44"/>
      <c r="Y4326" s="44"/>
    </row>
    <row r="4327" spans="14:25" ht="15" customHeight="1" x14ac:dyDescent="0.25">
      <c r="N4327" s="44"/>
      <c r="O4327" s="44"/>
      <c r="P4327" s="44"/>
      <c r="Q4327" s="44"/>
      <c r="R4327" s="44"/>
      <c r="S4327" s="44"/>
      <c r="T4327" s="44"/>
      <c r="U4327" s="44"/>
      <c r="V4327" s="44"/>
      <c r="W4327" s="44"/>
      <c r="X4327" s="44"/>
      <c r="Y4327" s="44"/>
    </row>
    <row r="4328" spans="14:25" ht="15" customHeight="1" x14ac:dyDescent="0.25">
      <c r="N4328" s="44"/>
      <c r="O4328" s="44"/>
      <c r="P4328" s="44"/>
      <c r="Q4328" s="44"/>
      <c r="R4328" s="44"/>
      <c r="S4328" s="44"/>
      <c r="T4328" s="44"/>
      <c r="U4328" s="44"/>
      <c r="V4328" s="44"/>
      <c r="W4328" s="44"/>
      <c r="X4328" s="44"/>
      <c r="Y4328" s="44"/>
    </row>
    <row r="4329" spans="14:25" ht="15" customHeight="1" x14ac:dyDescent="0.25">
      <c r="N4329" s="44"/>
      <c r="O4329" s="44"/>
      <c r="P4329" s="44"/>
      <c r="Q4329" s="44"/>
      <c r="R4329" s="44"/>
      <c r="S4329" s="44"/>
      <c r="T4329" s="44"/>
      <c r="U4329" s="44"/>
      <c r="V4329" s="44"/>
      <c r="W4329" s="44"/>
      <c r="X4329" s="44"/>
      <c r="Y4329" s="44"/>
    </row>
    <row r="4330" spans="14:25" ht="15" customHeight="1" x14ac:dyDescent="0.25">
      <c r="N4330" s="44"/>
      <c r="O4330" s="44"/>
      <c r="P4330" s="44"/>
      <c r="Q4330" s="44"/>
      <c r="R4330" s="44"/>
      <c r="S4330" s="44"/>
      <c r="T4330" s="44"/>
      <c r="U4330" s="44"/>
      <c r="V4330" s="44"/>
      <c r="W4330" s="44"/>
      <c r="X4330" s="44"/>
      <c r="Y4330" s="44"/>
    </row>
    <row r="4331" spans="14:25" ht="15" customHeight="1" x14ac:dyDescent="0.25">
      <c r="N4331" s="44"/>
      <c r="O4331" s="44"/>
      <c r="P4331" s="44"/>
      <c r="Q4331" s="44"/>
      <c r="R4331" s="44"/>
      <c r="S4331" s="44"/>
      <c r="T4331" s="44"/>
      <c r="U4331" s="44"/>
      <c r="V4331" s="44"/>
      <c r="W4331" s="44"/>
      <c r="X4331" s="44"/>
      <c r="Y4331" s="44"/>
    </row>
    <row r="4332" spans="14:25" ht="15" customHeight="1" x14ac:dyDescent="0.25">
      <c r="N4332" s="44"/>
      <c r="O4332" s="44"/>
      <c r="P4332" s="44"/>
      <c r="Q4332" s="44"/>
      <c r="R4332" s="44"/>
      <c r="S4332" s="44"/>
      <c r="T4332" s="44"/>
      <c r="U4332" s="44"/>
      <c r="V4332" s="44"/>
      <c r="W4332" s="44"/>
      <c r="X4332" s="44"/>
      <c r="Y4332" s="44"/>
    </row>
    <row r="4333" spans="14:25" ht="15" customHeight="1" x14ac:dyDescent="0.25">
      <c r="N4333" s="44"/>
      <c r="O4333" s="44"/>
      <c r="P4333" s="44"/>
      <c r="Q4333" s="44"/>
      <c r="R4333" s="44"/>
      <c r="S4333" s="44"/>
      <c r="T4333" s="44"/>
      <c r="U4333" s="44"/>
      <c r="V4333" s="44"/>
      <c r="W4333" s="44"/>
      <c r="X4333" s="44"/>
      <c r="Y4333" s="44"/>
    </row>
    <row r="4334" spans="14:25" ht="15" customHeight="1" x14ac:dyDescent="0.25">
      <c r="N4334" s="44"/>
      <c r="O4334" s="44"/>
      <c r="P4334" s="44"/>
      <c r="Q4334" s="44"/>
      <c r="R4334" s="44"/>
      <c r="S4334" s="44"/>
      <c r="T4334" s="44"/>
      <c r="U4334" s="44"/>
      <c r="V4334" s="44"/>
      <c r="W4334" s="44"/>
      <c r="X4334" s="44"/>
      <c r="Y4334" s="44"/>
    </row>
    <row r="4335" spans="14:25" ht="15" customHeight="1" x14ac:dyDescent="0.25">
      <c r="N4335" s="44"/>
      <c r="O4335" s="44"/>
      <c r="P4335" s="44"/>
      <c r="Q4335" s="44"/>
      <c r="R4335" s="44"/>
      <c r="S4335" s="44"/>
      <c r="T4335" s="44"/>
      <c r="U4335" s="44"/>
      <c r="V4335" s="44"/>
      <c r="W4335" s="44"/>
      <c r="X4335" s="44"/>
      <c r="Y4335" s="44"/>
    </row>
    <row r="4336" spans="14:25" ht="15" customHeight="1" x14ac:dyDescent="0.25">
      <c r="N4336" s="44"/>
      <c r="O4336" s="44"/>
      <c r="P4336" s="44"/>
      <c r="Q4336" s="44"/>
      <c r="R4336" s="44"/>
      <c r="S4336" s="44"/>
      <c r="T4336" s="44"/>
      <c r="U4336" s="44"/>
      <c r="V4336" s="44"/>
      <c r="W4336" s="44"/>
      <c r="X4336" s="44"/>
      <c r="Y4336" s="44"/>
    </row>
    <row r="4337" spans="14:25" ht="15" customHeight="1" x14ac:dyDescent="0.25">
      <c r="N4337" s="44"/>
      <c r="O4337" s="44"/>
      <c r="P4337" s="44"/>
      <c r="Q4337" s="44"/>
      <c r="R4337" s="44"/>
      <c r="S4337" s="44"/>
      <c r="T4337" s="44"/>
      <c r="U4337" s="44"/>
      <c r="V4337" s="44"/>
      <c r="W4337" s="44"/>
      <c r="X4337" s="44"/>
      <c r="Y4337" s="44"/>
    </row>
    <row r="4338" spans="14:25" ht="15" customHeight="1" x14ac:dyDescent="0.25">
      <c r="N4338" s="44"/>
      <c r="O4338" s="44"/>
      <c r="P4338" s="44"/>
      <c r="Q4338" s="44"/>
      <c r="R4338" s="44"/>
      <c r="S4338" s="44"/>
      <c r="T4338" s="44"/>
      <c r="U4338" s="44"/>
      <c r="V4338" s="44"/>
      <c r="W4338" s="44"/>
      <c r="X4338" s="44"/>
      <c r="Y4338" s="44"/>
    </row>
    <row r="4339" spans="14:25" ht="15" customHeight="1" x14ac:dyDescent="0.25">
      <c r="N4339" s="44"/>
      <c r="O4339" s="44"/>
      <c r="P4339" s="44"/>
      <c r="Q4339" s="44"/>
      <c r="R4339" s="44"/>
      <c r="S4339" s="44"/>
      <c r="T4339" s="44"/>
      <c r="U4339" s="44"/>
      <c r="V4339" s="44"/>
      <c r="W4339" s="44"/>
      <c r="X4339" s="44"/>
      <c r="Y4339" s="44"/>
    </row>
    <row r="4340" spans="14:25" ht="15" customHeight="1" x14ac:dyDescent="0.25">
      <c r="N4340" s="44"/>
      <c r="O4340" s="44"/>
      <c r="P4340" s="44"/>
      <c r="Q4340" s="44"/>
      <c r="R4340" s="44"/>
      <c r="S4340" s="44"/>
      <c r="T4340" s="44"/>
      <c r="U4340" s="44"/>
      <c r="V4340" s="44"/>
      <c r="W4340" s="44"/>
      <c r="X4340" s="44"/>
      <c r="Y4340" s="44"/>
    </row>
    <row r="4341" spans="14:25" ht="15" customHeight="1" x14ac:dyDescent="0.25">
      <c r="N4341" s="44"/>
      <c r="O4341" s="44"/>
      <c r="P4341" s="44"/>
      <c r="Q4341" s="44"/>
      <c r="R4341" s="44"/>
      <c r="S4341" s="44"/>
      <c r="T4341" s="44"/>
      <c r="U4341" s="44"/>
      <c r="V4341" s="44"/>
      <c r="W4341" s="44"/>
      <c r="X4341" s="44"/>
      <c r="Y4341" s="44"/>
    </row>
    <row r="4342" spans="14:25" ht="15" customHeight="1" x14ac:dyDescent="0.25">
      <c r="N4342" s="44"/>
      <c r="O4342" s="44"/>
      <c r="P4342" s="44"/>
      <c r="Q4342" s="44"/>
      <c r="R4342" s="44"/>
      <c r="S4342" s="44"/>
      <c r="T4342" s="44"/>
      <c r="U4342" s="44"/>
      <c r="V4342" s="44"/>
      <c r="W4342" s="44"/>
      <c r="X4342" s="44"/>
      <c r="Y4342" s="44"/>
    </row>
    <row r="4343" spans="14:25" ht="15" customHeight="1" x14ac:dyDescent="0.25">
      <c r="N4343" s="44"/>
      <c r="O4343" s="44"/>
      <c r="P4343" s="44"/>
      <c r="Q4343" s="44"/>
      <c r="R4343" s="44"/>
      <c r="S4343" s="44"/>
      <c r="T4343" s="44"/>
      <c r="U4343" s="44"/>
      <c r="V4343" s="44"/>
      <c r="W4343" s="44"/>
      <c r="X4343" s="44"/>
      <c r="Y4343" s="44"/>
    </row>
    <row r="4344" spans="14:25" ht="15" customHeight="1" x14ac:dyDescent="0.25">
      <c r="N4344" s="44"/>
      <c r="O4344" s="44"/>
      <c r="P4344" s="44"/>
      <c r="Q4344" s="44"/>
      <c r="R4344" s="44"/>
      <c r="S4344" s="44"/>
      <c r="T4344" s="44"/>
      <c r="U4344" s="44"/>
      <c r="V4344" s="44"/>
      <c r="W4344" s="44"/>
      <c r="X4344" s="44"/>
      <c r="Y4344" s="44"/>
    </row>
    <row r="4345" spans="14:25" ht="15" customHeight="1" x14ac:dyDescent="0.25">
      <c r="N4345" s="44"/>
      <c r="O4345" s="44"/>
      <c r="P4345" s="44"/>
      <c r="Q4345" s="44"/>
      <c r="R4345" s="44"/>
      <c r="S4345" s="44"/>
      <c r="T4345" s="44"/>
      <c r="U4345" s="44"/>
      <c r="V4345" s="44"/>
      <c r="W4345" s="44"/>
      <c r="X4345" s="44"/>
      <c r="Y4345" s="44"/>
    </row>
    <row r="4346" spans="14:25" ht="15" customHeight="1" x14ac:dyDescent="0.25">
      <c r="N4346" s="44"/>
      <c r="O4346" s="44"/>
      <c r="P4346" s="44"/>
      <c r="Q4346" s="44"/>
      <c r="R4346" s="44"/>
      <c r="S4346" s="44"/>
      <c r="T4346" s="44"/>
      <c r="U4346" s="44"/>
      <c r="V4346" s="44"/>
      <c r="W4346" s="44"/>
      <c r="X4346" s="44"/>
      <c r="Y4346" s="44"/>
    </row>
    <row r="4347" spans="14:25" ht="15" customHeight="1" x14ac:dyDescent="0.25">
      <c r="N4347" s="44"/>
      <c r="O4347" s="44"/>
      <c r="P4347" s="44"/>
      <c r="Q4347" s="44"/>
      <c r="R4347" s="44"/>
      <c r="S4347" s="44"/>
      <c r="T4347" s="44"/>
      <c r="U4347" s="44"/>
      <c r="V4347" s="44"/>
      <c r="W4347" s="44"/>
      <c r="X4347" s="44"/>
      <c r="Y4347" s="44"/>
    </row>
    <row r="4348" spans="14:25" ht="15" customHeight="1" x14ac:dyDescent="0.25">
      <c r="N4348" s="44"/>
      <c r="O4348" s="44"/>
      <c r="P4348" s="44"/>
      <c r="Q4348" s="44"/>
      <c r="R4348" s="44"/>
      <c r="S4348" s="44"/>
      <c r="T4348" s="44"/>
      <c r="U4348" s="44"/>
      <c r="V4348" s="44"/>
      <c r="W4348" s="44"/>
      <c r="X4348" s="44"/>
      <c r="Y4348" s="44"/>
    </row>
    <row r="4349" spans="14:25" ht="15" customHeight="1" x14ac:dyDescent="0.25">
      <c r="N4349" s="44"/>
      <c r="O4349" s="44"/>
      <c r="P4349" s="44"/>
      <c r="Q4349" s="44"/>
      <c r="R4349" s="44"/>
      <c r="S4349" s="44"/>
      <c r="T4349" s="44"/>
      <c r="U4349" s="44"/>
      <c r="V4349" s="44"/>
      <c r="W4349" s="44"/>
      <c r="X4349" s="44"/>
      <c r="Y4349" s="44"/>
    </row>
    <row r="4350" spans="14:25" ht="15" customHeight="1" x14ac:dyDescent="0.25">
      <c r="N4350" s="44"/>
      <c r="O4350" s="44"/>
      <c r="P4350" s="44"/>
      <c r="Q4350" s="44"/>
      <c r="R4350" s="44"/>
      <c r="S4350" s="44"/>
      <c r="T4350" s="44"/>
      <c r="U4350" s="44"/>
      <c r="V4350" s="44"/>
      <c r="W4350" s="44"/>
      <c r="X4350" s="44"/>
      <c r="Y4350" s="44"/>
    </row>
    <row r="4351" spans="14:25" ht="15" customHeight="1" x14ac:dyDescent="0.25">
      <c r="N4351" s="44"/>
      <c r="O4351" s="44"/>
      <c r="P4351" s="44"/>
      <c r="Q4351" s="44"/>
      <c r="R4351" s="44"/>
      <c r="S4351" s="44"/>
      <c r="T4351" s="44"/>
      <c r="U4351" s="44"/>
      <c r="V4351" s="44"/>
      <c r="W4351" s="44"/>
      <c r="X4351" s="44"/>
      <c r="Y4351" s="44"/>
    </row>
    <row r="4352" spans="14:25" ht="15" customHeight="1" x14ac:dyDescent="0.25">
      <c r="N4352" s="44"/>
      <c r="O4352" s="44"/>
      <c r="P4352" s="44"/>
      <c r="Q4352" s="44"/>
      <c r="R4352" s="44"/>
      <c r="S4352" s="44"/>
      <c r="T4352" s="44"/>
      <c r="U4352" s="44"/>
      <c r="V4352" s="44"/>
      <c r="W4352" s="44"/>
      <c r="X4352" s="44"/>
      <c r="Y4352" s="44"/>
    </row>
    <row r="4353" spans="14:25" ht="15" customHeight="1" x14ac:dyDescent="0.25">
      <c r="N4353" s="44"/>
      <c r="O4353" s="44"/>
      <c r="P4353" s="44"/>
      <c r="Q4353" s="44"/>
      <c r="R4353" s="44"/>
      <c r="S4353" s="44"/>
      <c r="T4353" s="44"/>
      <c r="U4353" s="44"/>
      <c r="V4353" s="44"/>
      <c r="W4353" s="44"/>
      <c r="X4353" s="44"/>
      <c r="Y4353" s="44"/>
    </row>
    <row r="4354" spans="14:25" ht="15" customHeight="1" x14ac:dyDescent="0.25">
      <c r="N4354" s="44"/>
      <c r="O4354" s="44"/>
      <c r="P4354" s="44"/>
      <c r="Q4354" s="44"/>
      <c r="R4354" s="44"/>
      <c r="S4354" s="44"/>
      <c r="T4354" s="44"/>
      <c r="U4354" s="44"/>
      <c r="V4354" s="44"/>
      <c r="W4354" s="44"/>
      <c r="X4354" s="44"/>
      <c r="Y4354" s="44"/>
    </row>
    <row r="4355" spans="14:25" ht="15" customHeight="1" x14ac:dyDescent="0.25">
      <c r="N4355" s="44"/>
      <c r="O4355" s="44"/>
      <c r="P4355" s="44"/>
      <c r="Q4355" s="44"/>
      <c r="R4355" s="44"/>
      <c r="S4355" s="44"/>
      <c r="T4355" s="44"/>
      <c r="U4355" s="44"/>
      <c r="V4355" s="44"/>
      <c r="W4355" s="44"/>
      <c r="X4355" s="44"/>
      <c r="Y4355" s="44"/>
    </row>
    <row r="4356" spans="14:25" ht="15" customHeight="1" x14ac:dyDescent="0.25">
      <c r="N4356" s="44"/>
      <c r="O4356" s="44"/>
      <c r="P4356" s="44"/>
      <c r="Q4356" s="44"/>
      <c r="R4356" s="44"/>
      <c r="S4356" s="44"/>
      <c r="T4356" s="44"/>
      <c r="U4356" s="44"/>
      <c r="V4356" s="44"/>
      <c r="W4356" s="44"/>
      <c r="X4356" s="44"/>
      <c r="Y4356" s="44"/>
    </row>
    <row r="4357" spans="14:25" ht="15" customHeight="1" x14ac:dyDescent="0.25">
      <c r="N4357" s="44"/>
      <c r="O4357" s="44"/>
      <c r="P4357" s="44"/>
      <c r="Q4357" s="44"/>
      <c r="R4357" s="44"/>
      <c r="S4357" s="44"/>
      <c r="T4357" s="44"/>
      <c r="U4357" s="44"/>
      <c r="V4357" s="44"/>
      <c r="W4357" s="44"/>
      <c r="X4357" s="44"/>
      <c r="Y4357" s="44"/>
    </row>
    <row r="4358" spans="14:25" ht="15" customHeight="1" x14ac:dyDescent="0.25">
      <c r="N4358" s="44"/>
      <c r="O4358" s="44"/>
      <c r="P4358" s="44"/>
      <c r="Q4358" s="44"/>
      <c r="R4358" s="44"/>
      <c r="S4358" s="44"/>
      <c r="T4358" s="44"/>
      <c r="U4358" s="44"/>
      <c r="V4358" s="44"/>
      <c r="W4358" s="44"/>
      <c r="X4358" s="44"/>
      <c r="Y4358" s="44"/>
    </row>
    <row r="4359" spans="14:25" ht="15" customHeight="1" x14ac:dyDescent="0.25">
      <c r="N4359" s="44"/>
      <c r="O4359" s="44"/>
      <c r="P4359" s="44"/>
      <c r="Q4359" s="44"/>
      <c r="R4359" s="44"/>
      <c r="S4359" s="44"/>
      <c r="T4359" s="44"/>
      <c r="U4359" s="44"/>
      <c r="V4359" s="44"/>
      <c r="W4359" s="44"/>
      <c r="X4359" s="44"/>
      <c r="Y4359" s="44"/>
    </row>
    <row r="4360" spans="14:25" ht="15" customHeight="1" x14ac:dyDescent="0.25">
      <c r="N4360" s="44"/>
      <c r="O4360" s="44"/>
      <c r="P4360" s="44"/>
      <c r="Q4360" s="44"/>
      <c r="R4360" s="44"/>
      <c r="S4360" s="44"/>
      <c r="T4360" s="44"/>
      <c r="U4360" s="44"/>
      <c r="V4360" s="44"/>
      <c r="W4360" s="44"/>
      <c r="X4360" s="44"/>
      <c r="Y4360" s="44"/>
    </row>
    <row r="4361" spans="14:25" ht="15" customHeight="1" x14ac:dyDescent="0.25">
      <c r="N4361" s="44"/>
      <c r="O4361" s="44"/>
      <c r="P4361" s="44"/>
      <c r="Q4361" s="44"/>
      <c r="R4361" s="44"/>
      <c r="S4361" s="44"/>
      <c r="T4361" s="44"/>
      <c r="U4361" s="44"/>
      <c r="V4361" s="44"/>
      <c r="W4361" s="44"/>
      <c r="X4361" s="44"/>
      <c r="Y4361" s="44"/>
    </row>
    <row r="4362" spans="14:25" ht="15" customHeight="1" x14ac:dyDescent="0.25">
      <c r="N4362" s="44"/>
      <c r="O4362" s="44"/>
      <c r="P4362" s="44"/>
      <c r="Q4362" s="44"/>
      <c r="R4362" s="44"/>
      <c r="S4362" s="44"/>
      <c r="T4362" s="44"/>
      <c r="U4362" s="44"/>
      <c r="V4362" s="44"/>
      <c r="W4362" s="44"/>
      <c r="X4362" s="44"/>
      <c r="Y4362" s="44"/>
    </row>
    <row r="4363" spans="14:25" ht="15" customHeight="1" x14ac:dyDescent="0.25">
      <c r="N4363" s="44"/>
      <c r="O4363" s="44"/>
      <c r="P4363" s="44"/>
      <c r="Q4363" s="44"/>
      <c r="R4363" s="44"/>
      <c r="S4363" s="44"/>
      <c r="T4363" s="44"/>
      <c r="U4363" s="44"/>
      <c r="V4363" s="44"/>
      <c r="W4363" s="44"/>
      <c r="X4363" s="44"/>
      <c r="Y4363" s="44"/>
    </row>
    <row r="4364" spans="14:25" ht="15" customHeight="1" x14ac:dyDescent="0.25">
      <c r="N4364" s="44"/>
      <c r="O4364" s="44"/>
      <c r="P4364" s="44"/>
      <c r="Q4364" s="44"/>
      <c r="R4364" s="44"/>
      <c r="S4364" s="44"/>
      <c r="T4364" s="44"/>
      <c r="U4364" s="44"/>
      <c r="V4364" s="44"/>
      <c r="W4364" s="44"/>
      <c r="X4364" s="44"/>
      <c r="Y4364" s="44"/>
    </row>
    <row r="4365" spans="14:25" ht="15" customHeight="1" x14ac:dyDescent="0.25">
      <c r="N4365" s="44"/>
      <c r="O4365" s="44"/>
      <c r="P4365" s="44"/>
      <c r="Q4365" s="44"/>
      <c r="R4365" s="44"/>
      <c r="S4365" s="44"/>
      <c r="T4365" s="44"/>
      <c r="U4365" s="44"/>
      <c r="V4365" s="44"/>
      <c r="W4365" s="44"/>
      <c r="X4365" s="44"/>
      <c r="Y4365" s="44"/>
    </row>
    <row r="4366" spans="14:25" ht="15" customHeight="1" x14ac:dyDescent="0.25">
      <c r="N4366" s="44"/>
      <c r="O4366" s="44"/>
      <c r="P4366" s="44"/>
      <c r="Q4366" s="44"/>
      <c r="R4366" s="44"/>
      <c r="S4366" s="44"/>
      <c r="T4366" s="44"/>
      <c r="U4366" s="44"/>
      <c r="V4366" s="44"/>
      <c r="W4366" s="44"/>
      <c r="X4366" s="44"/>
      <c r="Y4366" s="44"/>
    </row>
    <row r="4367" spans="14:25" ht="15" customHeight="1" x14ac:dyDescent="0.25">
      <c r="N4367" s="44"/>
      <c r="O4367" s="44"/>
      <c r="P4367" s="44"/>
      <c r="Q4367" s="44"/>
      <c r="R4367" s="44"/>
      <c r="S4367" s="44"/>
      <c r="T4367" s="44"/>
      <c r="U4367" s="44"/>
      <c r="V4367" s="44"/>
      <c r="W4367" s="44"/>
      <c r="X4367" s="44"/>
      <c r="Y4367" s="44"/>
    </row>
    <row r="4368" spans="14:25" ht="15" customHeight="1" x14ac:dyDescent="0.25">
      <c r="N4368" s="44"/>
      <c r="O4368" s="44"/>
      <c r="P4368" s="44"/>
      <c r="Q4368" s="44"/>
      <c r="R4368" s="44"/>
      <c r="S4368" s="44"/>
      <c r="T4368" s="44"/>
      <c r="U4368" s="44"/>
      <c r="V4368" s="44"/>
      <c r="W4368" s="44"/>
      <c r="X4368" s="44"/>
      <c r="Y4368" s="44"/>
    </row>
    <row r="4369" spans="14:25" ht="15" customHeight="1" x14ac:dyDescent="0.25">
      <c r="N4369" s="44"/>
      <c r="O4369" s="44"/>
      <c r="P4369" s="44"/>
      <c r="Q4369" s="44"/>
      <c r="R4369" s="44"/>
      <c r="S4369" s="44"/>
      <c r="T4369" s="44"/>
      <c r="U4369" s="44"/>
      <c r="V4369" s="44"/>
      <c r="W4369" s="44"/>
      <c r="X4369" s="44"/>
      <c r="Y4369" s="44"/>
    </row>
    <row r="4370" spans="14:25" ht="15" customHeight="1" x14ac:dyDescent="0.25">
      <c r="N4370" s="44"/>
      <c r="O4370" s="44"/>
      <c r="P4370" s="44"/>
      <c r="Q4370" s="44"/>
      <c r="R4370" s="44"/>
      <c r="S4370" s="44"/>
      <c r="T4370" s="44"/>
      <c r="U4370" s="44"/>
      <c r="V4370" s="44"/>
      <c r="W4370" s="44"/>
      <c r="X4370" s="44"/>
      <c r="Y4370" s="44"/>
    </row>
    <row r="4371" spans="14:25" ht="15" customHeight="1" x14ac:dyDescent="0.25">
      <c r="N4371" s="44"/>
      <c r="O4371" s="44"/>
      <c r="P4371" s="44"/>
      <c r="Q4371" s="44"/>
      <c r="R4371" s="44"/>
      <c r="S4371" s="44"/>
      <c r="T4371" s="44"/>
      <c r="U4371" s="44"/>
      <c r="V4371" s="44"/>
      <c r="W4371" s="44"/>
      <c r="X4371" s="44"/>
      <c r="Y4371" s="44"/>
    </row>
    <row r="4372" spans="14:25" ht="15" customHeight="1" x14ac:dyDescent="0.25">
      <c r="N4372" s="44"/>
      <c r="O4372" s="44"/>
      <c r="P4372" s="44"/>
      <c r="Q4372" s="44"/>
      <c r="R4372" s="44"/>
      <c r="S4372" s="44"/>
      <c r="T4372" s="44"/>
      <c r="U4372" s="44"/>
      <c r="V4372" s="44"/>
      <c r="W4372" s="44"/>
      <c r="X4372" s="44"/>
      <c r="Y4372" s="44"/>
    </row>
    <row r="4373" spans="14:25" ht="15" customHeight="1" x14ac:dyDescent="0.25">
      <c r="N4373" s="44"/>
      <c r="O4373" s="44"/>
      <c r="P4373" s="44"/>
      <c r="Q4373" s="44"/>
      <c r="R4373" s="44"/>
      <c r="S4373" s="44"/>
      <c r="T4373" s="44"/>
      <c r="U4373" s="44"/>
      <c r="V4373" s="44"/>
      <c r="W4373" s="44"/>
      <c r="X4373" s="44"/>
      <c r="Y4373" s="44"/>
    </row>
    <row r="4374" spans="14:25" ht="15" customHeight="1" x14ac:dyDescent="0.25">
      <c r="N4374" s="44"/>
      <c r="O4374" s="44"/>
      <c r="P4374" s="44"/>
      <c r="Q4374" s="44"/>
      <c r="R4374" s="44"/>
      <c r="S4374" s="44"/>
      <c r="T4374" s="44"/>
      <c r="U4374" s="44"/>
      <c r="V4374" s="44"/>
      <c r="W4374" s="44"/>
      <c r="X4374" s="44"/>
      <c r="Y4374" s="44"/>
    </row>
    <row r="4375" spans="14:25" ht="15" customHeight="1" x14ac:dyDescent="0.25">
      <c r="N4375" s="44"/>
      <c r="O4375" s="44"/>
      <c r="P4375" s="44"/>
      <c r="Q4375" s="44"/>
      <c r="R4375" s="44"/>
      <c r="S4375" s="44"/>
      <c r="T4375" s="44"/>
      <c r="U4375" s="44"/>
      <c r="V4375" s="44"/>
      <c r="W4375" s="44"/>
      <c r="X4375" s="44"/>
      <c r="Y4375" s="44"/>
    </row>
    <row r="4376" spans="14:25" ht="15" customHeight="1" x14ac:dyDescent="0.25">
      <c r="N4376" s="44"/>
      <c r="O4376" s="44"/>
      <c r="P4376" s="44"/>
      <c r="Q4376" s="44"/>
      <c r="R4376" s="44"/>
      <c r="S4376" s="44"/>
      <c r="T4376" s="44"/>
      <c r="U4376" s="44"/>
      <c r="V4376" s="44"/>
      <c r="W4376" s="44"/>
      <c r="X4376" s="44"/>
      <c r="Y4376" s="44"/>
    </row>
    <row r="4377" spans="14:25" ht="15" customHeight="1" x14ac:dyDescent="0.25">
      <c r="N4377" s="44"/>
      <c r="O4377" s="44"/>
      <c r="P4377" s="44"/>
      <c r="Q4377" s="44"/>
      <c r="R4377" s="44"/>
      <c r="S4377" s="44"/>
      <c r="T4377" s="44"/>
      <c r="U4377" s="44"/>
      <c r="V4377" s="44"/>
      <c r="W4377" s="44"/>
      <c r="X4377" s="44"/>
      <c r="Y4377" s="44"/>
    </row>
    <row r="4378" spans="14:25" ht="15" customHeight="1" x14ac:dyDescent="0.25">
      <c r="N4378" s="44"/>
      <c r="O4378" s="44"/>
      <c r="P4378" s="44"/>
      <c r="Q4378" s="44"/>
      <c r="R4378" s="44"/>
      <c r="S4378" s="44"/>
      <c r="T4378" s="44"/>
      <c r="U4378" s="44"/>
      <c r="V4378" s="44"/>
      <c r="W4378" s="44"/>
      <c r="X4378" s="44"/>
      <c r="Y4378" s="44"/>
    </row>
    <row r="4379" spans="14:25" ht="15" customHeight="1" x14ac:dyDescent="0.25">
      <c r="N4379" s="44"/>
      <c r="O4379" s="44"/>
      <c r="P4379" s="44"/>
      <c r="Q4379" s="44"/>
      <c r="R4379" s="44"/>
      <c r="S4379" s="44"/>
      <c r="T4379" s="44"/>
      <c r="U4379" s="44"/>
      <c r="V4379" s="44"/>
      <c r="W4379" s="44"/>
      <c r="X4379" s="44"/>
      <c r="Y4379" s="44"/>
    </row>
    <row r="4380" spans="14:25" ht="15" customHeight="1" x14ac:dyDescent="0.25">
      <c r="N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</row>
    <row r="4381" spans="14:25" ht="15" customHeight="1" x14ac:dyDescent="0.25">
      <c r="N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</row>
    <row r="4382" spans="14:25" ht="15" customHeight="1" x14ac:dyDescent="0.25">
      <c r="N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</row>
    <row r="4383" spans="14:25" ht="15" customHeight="1" x14ac:dyDescent="0.25">
      <c r="N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</row>
    <row r="4384" spans="14:25" ht="15" customHeight="1" x14ac:dyDescent="0.25">
      <c r="N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</row>
    <row r="4385" spans="14:25" ht="15" customHeight="1" x14ac:dyDescent="0.25">
      <c r="N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</row>
    <row r="4386" spans="14:25" ht="15" customHeight="1" x14ac:dyDescent="0.25">
      <c r="N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</row>
    <row r="4387" spans="14:25" ht="15" customHeight="1" x14ac:dyDescent="0.25">
      <c r="N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</row>
    <row r="4388" spans="14:25" ht="15" customHeight="1" x14ac:dyDescent="0.25">
      <c r="N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</row>
    <row r="4389" spans="14:25" ht="15" customHeight="1" x14ac:dyDescent="0.25"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</row>
    <row r="4390" spans="14:25" ht="15" customHeight="1" x14ac:dyDescent="0.25">
      <c r="N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</row>
    <row r="4391" spans="14:25" ht="15" customHeight="1" x14ac:dyDescent="0.25">
      <c r="N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</row>
    <row r="4392" spans="14:25" ht="15" customHeight="1" x14ac:dyDescent="0.25">
      <c r="N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</row>
    <row r="4393" spans="14:25" ht="15" customHeight="1" x14ac:dyDescent="0.25">
      <c r="N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</row>
    <row r="4394" spans="14:25" ht="15" customHeight="1" x14ac:dyDescent="0.25">
      <c r="N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</row>
    <row r="4395" spans="14:25" ht="15" customHeight="1" x14ac:dyDescent="0.25">
      <c r="N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</row>
    <row r="4396" spans="14:25" ht="15" customHeight="1" x14ac:dyDescent="0.25">
      <c r="N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</row>
    <row r="4397" spans="14:25" ht="15" customHeight="1" x14ac:dyDescent="0.25">
      <c r="N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</row>
    <row r="4398" spans="14:25" ht="15" customHeight="1" x14ac:dyDescent="0.25">
      <c r="N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</row>
    <row r="4399" spans="14:25" ht="15" customHeight="1" x14ac:dyDescent="0.25">
      <c r="N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</row>
    <row r="4400" spans="14:25" ht="15" customHeight="1" x14ac:dyDescent="0.25">
      <c r="N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</row>
    <row r="4401" spans="14:25" ht="15" customHeight="1" x14ac:dyDescent="0.25">
      <c r="N4401" s="44"/>
      <c r="O4401" s="44"/>
      <c r="P4401" s="44"/>
      <c r="Q4401" s="44"/>
      <c r="R4401" s="44"/>
      <c r="S4401" s="44"/>
      <c r="T4401" s="44"/>
      <c r="U4401" s="44"/>
      <c r="V4401" s="44"/>
      <c r="W4401" s="44"/>
      <c r="X4401" s="44"/>
      <c r="Y4401" s="44"/>
    </row>
    <row r="4402" spans="14:25" ht="15" customHeight="1" x14ac:dyDescent="0.25">
      <c r="N4402" s="44"/>
      <c r="O4402" s="44"/>
      <c r="P4402" s="44"/>
      <c r="Q4402" s="44"/>
      <c r="R4402" s="44"/>
      <c r="S4402" s="44"/>
      <c r="T4402" s="44"/>
      <c r="U4402" s="44"/>
      <c r="V4402" s="44"/>
      <c r="W4402" s="44"/>
      <c r="X4402" s="44"/>
      <c r="Y4402" s="44"/>
    </row>
    <row r="4403" spans="14:25" ht="15" customHeight="1" x14ac:dyDescent="0.25">
      <c r="N4403" s="44"/>
      <c r="O4403" s="44"/>
      <c r="P4403" s="44"/>
      <c r="Q4403" s="44"/>
      <c r="R4403" s="44"/>
      <c r="S4403" s="44"/>
      <c r="T4403" s="44"/>
      <c r="U4403" s="44"/>
      <c r="V4403" s="44"/>
      <c r="W4403" s="44"/>
      <c r="X4403" s="44"/>
      <c r="Y4403" s="44"/>
    </row>
    <row r="4404" spans="14:25" ht="15" customHeight="1" x14ac:dyDescent="0.25">
      <c r="N4404" s="44"/>
      <c r="O4404" s="44"/>
      <c r="P4404" s="44"/>
      <c r="Q4404" s="44"/>
      <c r="R4404" s="44"/>
      <c r="S4404" s="44"/>
      <c r="T4404" s="44"/>
      <c r="U4404" s="44"/>
      <c r="V4404" s="44"/>
      <c r="W4404" s="44"/>
      <c r="X4404" s="44"/>
      <c r="Y4404" s="44"/>
    </row>
    <row r="4405" spans="14:25" ht="15" customHeight="1" x14ac:dyDescent="0.25">
      <c r="N4405" s="44"/>
      <c r="O4405" s="44"/>
      <c r="P4405" s="44"/>
      <c r="Q4405" s="44"/>
      <c r="R4405" s="44"/>
      <c r="S4405" s="44"/>
      <c r="T4405" s="44"/>
      <c r="U4405" s="44"/>
      <c r="V4405" s="44"/>
      <c r="W4405" s="44"/>
      <c r="X4405" s="44"/>
      <c r="Y4405" s="44"/>
    </row>
    <row r="4406" spans="14:25" ht="15" customHeight="1" x14ac:dyDescent="0.25">
      <c r="N4406" s="44"/>
      <c r="O4406" s="44"/>
      <c r="P4406" s="44"/>
      <c r="Q4406" s="44"/>
      <c r="R4406" s="44"/>
      <c r="S4406" s="44"/>
      <c r="T4406" s="44"/>
      <c r="U4406" s="44"/>
      <c r="V4406" s="44"/>
      <c r="W4406" s="44"/>
      <c r="X4406" s="44"/>
      <c r="Y4406" s="44"/>
    </row>
    <row r="4407" spans="14:25" ht="15" customHeight="1" x14ac:dyDescent="0.25">
      <c r="N4407" s="44"/>
      <c r="O4407" s="44"/>
      <c r="P4407" s="44"/>
      <c r="Q4407" s="44"/>
      <c r="R4407" s="44"/>
      <c r="S4407" s="44"/>
      <c r="T4407" s="44"/>
      <c r="U4407" s="44"/>
      <c r="V4407" s="44"/>
      <c r="W4407" s="44"/>
      <c r="X4407" s="44"/>
      <c r="Y4407" s="44"/>
    </row>
    <row r="4408" spans="14:25" ht="15" customHeight="1" x14ac:dyDescent="0.25">
      <c r="N4408" s="44"/>
      <c r="O4408" s="44"/>
      <c r="P4408" s="44"/>
      <c r="Q4408" s="44"/>
      <c r="R4408" s="44"/>
      <c r="S4408" s="44"/>
      <c r="T4408" s="44"/>
      <c r="U4408" s="44"/>
      <c r="V4408" s="44"/>
      <c r="W4408" s="44"/>
      <c r="X4408" s="44"/>
      <c r="Y4408" s="44"/>
    </row>
    <row r="4409" spans="14:25" ht="15" customHeight="1" x14ac:dyDescent="0.25">
      <c r="N4409" s="44"/>
      <c r="O4409" s="44"/>
      <c r="P4409" s="44"/>
      <c r="Q4409" s="44"/>
      <c r="R4409" s="44"/>
      <c r="S4409" s="44"/>
      <c r="T4409" s="44"/>
      <c r="U4409" s="44"/>
      <c r="V4409" s="44"/>
      <c r="W4409" s="44"/>
      <c r="X4409" s="44"/>
      <c r="Y4409" s="44"/>
    </row>
    <row r="4410" spans="14:25" ht="15" customHeight="1" x14ac:dyDescent="0.25">
      <c r="N4410" s="44"/>
      <c r="O4410" s="44"/>
      <c r="P4410" s="44"/>
      <c r="Q4410" s="44"/>
      <c r="R4410" s="44"/>
      <c r="S4410" s="44"/>
      <c r="T4410" s="44"/>
      <c r="U4410" s="44"/>
      <c r="V4410" s="44"/>
      <c r="W4410" s="44"/>
      <c r="X4410" s="44"/>
      <c r="Y4410" s="44"/>
    </row>
    <row r="4411" spans="14:25" ht="15" customHeight="1" x14ac:dyDescent="0.25">
      <c r="N4411" s="44"/>
      <c r="O4411" s="44"/>
      <c r="P4411" s="44"/>
      <c r="Q4411" s="44"/>
      <c r="R4411" s="44"/>
      <c r="S4411" s="44"/>
      <c r="T4411" s="44"/>
      <c r="U4411" s="44"/>
      <c r="V4411" s="44"/>
      <c r="W4411" s="44"/>
      <c r="X4411" s="44"/>
      <c r="Y4411" s="44"/>
    </row>
    <row r="4412" spans="14:25" ht="15" customHeight="1" x14ac:dyDescent="0.25">
      <c r="N4412" s="44"/>
      <c r="O4412" s="44"/>
      <c r="P4412" s="44"/>
      <c r="Q4412" s="44"/>
      <c r="R4412" s="44"/>
      <c r="S4412" s="44"/>
      <c r="T4412" s="44"/>
      <c r="U4412" s="44"/>
      <c r="V4412" s="44"/>
      <c r="W4412" s="44"/>
      <c r="X4412" s="44"/>
      <c r="Y4412" s="44"/>
    </row>
    <row r="4413" spans="14:25" ht="15" customHeight="1" x14ac:dyDescent="0.25">
      <c r="N4413" s="44"/>
      <c r="O4413" s="44"/>
      <c r="P4413" s="44"/>
      <c r="Q4413" s="44"/>
      <c r="R4413" s="44"/>
      <c r="S4413" s="44"/>
      <c r="T4413" s="44"/>
      <c r="U4413" s="44"/>
      <c r="V4413" s="44"/>
      <c r="W4413" s="44"/>
      <c r="X4413" s="44"/>
      <c r="Y4413" s="44"/>
    </row>
    <row r="4414" spans="14:25" ht="15" customHeight="1" x14ac:dyDescent="0.25">
      <c r="N4414" s="44"/>
      <c r="O4414" s="44"/>
      <c r="P4414" s="44"/>
      <c r="Q4414" s="44"/>
      <c r="R4414" s="44"/>
      <c r="S4414" s="44"/>
      <c r="T4414" s="44"/>
      <c r="U4414" s="44"/>
      <c r="V4414" s="44"/>
      <c r="W4414" s="44"/>
      <c r="X4414" s="44"/>
      <c r="Y4414" s="44"/>
    </row>
    <row r="4415" spans="14:25" ht="15" customHeight="1" x14ac:dyDescent="0.25">
      <c r="N4415" s="44"/>
      <c r="O4415" s="44"/>
      <c r="P4415" s="44"/>
      <c r="Q4415" s="44"/>
      <c r="R4415" s="44"/>
      <c r="S4415" s="44"/>
      <c r="T4415" s="44"/>
      <c r="U4415" s="44"/>
      <c r="V4415" s="44"/>
      <c r="W4415" s="44"/>
      <c r="X4415" s="44"/>
      <c r="Y4415" s="44"/>
    </row>
    <row r="4416" spans="14:25" ht="15" customHeight="1" x14ac:dyDescent="0.25">
      <c r="N4416" s="44"/>
      <c r="O4416" s="44"/>
      <c r="P4416" s="44"/>
      <c r="Q4416" s="44"/>
      <c r="R4416" s="44"/>
      <c r="S4416" s="44"/>
      <c r="T4416" s="44"/>
      <c r="U4416" s="44"/>
      <c r="V4416" s="44"/>
      <c r="W4416" s="44"/>
      <c r="X4416" s="44"/>
      <c r="Y4416" s="44"/>
    </row>
    <row r="4417" spans="14:25" ht="15" customHeight="1" x14ac:dyDescent="0.25">
      <c r="N4417" s="44"/>
      <c r="O4417" s="44"/>
      <c r="P4417" s="44"/>
      <c r="Q4417" s="44"/>
      <c r="R4417" s="44"/>
      <c r="S4417" s="44"/>
      <c r="T4417" s="44"/>
      <c r="U4417" s="44"/>
      <c r="V4417" s="44"/>
      <c r="W4417" s="44"/>
      <c r="X4417" s="44"/>
      <c r="Y4417" s="44"/>
    </row>
    <row r="4418" spans="14:25" ht="15" customHeight="1" x14ac:dyDescent="0.25">
      <c r="N4418" s="44"/>
      <c r="O4418" s="44"/>
      <c r="P4418" s="44"/>
      <c r="Q4418" s="44"/>
      <c r="R4418" s="44"/>
      <c r="S4418" s="44"/>
      <c r="T4418" s="44"/>
      <c r="U4418" s="44"/>
      <c r="V4418" s="44"/>
      <c r="W4418" s="44"/>
      <c r="X4418" s="44"/>
      <c r="Y4418" s="44"/>
    </row>
    <row r="4419" spans="14:25" ht="15" customHeight="1" x14ac:dyDescent="0.25">
      <c r="N4419" s="44"/>
      <c r="O4419" s="44"/>
      <c r="P4419" s="44"/>
      <c r="Q4419" s="44"/>
      <c r="R4419" s="44"/>
      <c r="S4419" s="44"/>
      <c r="T4419" s="44"/>
      <c r="U4419" s="44"/>
      <c r="V4419" s="44"/>
      <c r="W4419" s="44"/>
      <c r="X4419" s="44"/>
      <c r="Y4419" s="44"/>
    </row>
    <row r="4420" spans="14:25" ht="15" customHeight="1" x14ac:dyDescent="0.25">
      <c r="N4420" s="44"/>
      <c r="O4420" s="44"/>
      <c r="P4420" s="44"/>
      <c r="Q4420" s="44"/>
      <c r="R4420" s="44"/>
      <c r="S4420" s="44"/>
      <c r="T4420" s="44"/>
      <c r="U4420" s="44"/>
      <c r="V4420" s="44"/>
      <c r="W4420" s="44"/>
      <c r="X4420" s="44"/>
      <c r="Y4420" s="44"/>
    </row>
    <row r="4421" spans="14:25" ht="15" customHeight="1" x14ac:dyDescent="0.25">
      <c r="N4421" s="44"/>
      <c r="O4421" s="44"/>
      <c r="P4421" s="44"/>
      <c r="Q4421" s="44"/>
      <c r="R4421" s="44"/>
      <c r="S4421" s="44"/>
      <c r="T4421" s="44"/>
      <c r="U4421" s="44"/>
      <c r="V4421" s="44"/>
      <c r="W4421" s="44"/>
      <c r="X4421" s="44"/>
      <c r="Y4421" s="44"/>
    </row>
    <row r="4422" spans="14:25" ht="15" customHeight="1" x14ac:dyDescent="0.25">
      <c r="N4422" s="44"/>
      <c r="O4422" s="44"/>
      <c r="P4422" s="44"/>
      <c r="Q4422" s="44"/>
      <c r="R4422" s="44"/>
      <c r="S4422" s="44"/>
      <c r="T4422" s="44"/>
      <c r="U4422" s="44"/>
      <c r="V4422" s="44"/>
      <c r="W4422" s="44"/>
      <c r="X4422" s="44"/>
      <c r="Y4422" s="44"/>
    </row>
    <row r="4423" spans="14:25" ht="15" customHeight="1" x14ac:dyDescent="0.25">
      <c r="N4423" s="44"/>
      <c r="O4423" s="44"/>
      <c r="P4423" s="44"/>
      <c r="Q4423" s="44"/>
      <c r="R4423" s="44"/>
      <c r="S4423" s="44"/>
      <c r="T4423" s="44"/>
      <c r="U4423" s="44"/>
      <c r="V4423" s="44"/>
      <c r="W4423" s="44"/>
      <c r="X4423" s="44"/>
      <c r="Y4423" s="44"/>
    </row>
    <row r="4424" spans="14:25" ht="15" customHeight="1" x14ac:dyDescent="0.25">
      <c r="N4424" s="44"/>
      <c r="O4424" s="44"/>
      <c r="P4424" s="44"/>
      <c r="Q4424" s="44"/>
      <c r="R4424" s="44"/>
      <c r="S4424" s="44"/>
      <c r="T4424" s="44"/>
      <c r="U4424" s="44"/>
      <c r="V4424" s="44"/>
      <c r="W4424" s="44"/>
      <c r="X4424" s="44"/>
      <c r="Y4424" s="44"/>
    </row>
    <row r="4425" spans="14:25" ht="15" customHeight="1" x14ac:dyDescent="0.25">
      <c r="N4425" s="44"/>
      <c r="O4425" s="44"/>
      <c r="P4425" s="44"/>
      <c r="Q4425" s="44"/>
      <c r="R4425" s="44"/>
      <c r="S4425" s="44"/>
      <c r="T4425" s="44"/>
      <c r="U4425" s="44"/>
      <c r="V4425" s="44"/>
      <c r="W4425" s="44"/>
      <c r="X4425" s="44"/>
      <c r="Y4425" s="44"/>
    </row>
    <row r="4426" spans="14:25" ht="15" customHeight="1" x14ac:dyDescent="0.25">
      <c r="N4426" s="44"/>
      <c r="O4426" s="44"/>
      <c r="P4426" s="44"/>
      <c r="Q4426" s="44"/>
      <c r="R4426" s="44"/>
      <c r="S4426" s="44"/>
      <c r="T4426" s="44"/>
      <c r="U4426" s="44"/>
      <c r="V4426" s="44"/>
      <c r="W4426" s="44"/>
      <c r="X4426" s="44"/>
      <c r="Y4426" s="44"/>
    </row>
    <row r="4427" spans="14:25" ht="15" customHeight="1" x14ac:dyDescent="0.25">
      <c r="N4427" s="44"/>
      <c r="O4427" s="44"/>
      <c r="P4427" s="44"/>
      <c r="Q4427" s="44"/>
      <c r="R4427" s="44"/>
      <c r="S4427" s="44"/>
      <c r="T4427" s="44"/>
      <c r="U4427" s="44"/>
      <c r="V4427" s="44"/>
      <c r="W4427" s="44"/>
      <c r="X4427" s="44"/>
      <c r="Y4427" s="44"/>
    </row>
    <row r="4428" spans="14:25" ht="15" customHeight="1" x14ac:dyDescent="0.25">
      <c r="N4428" s="44"/>
      <c r="O4428" s="44"/>
      <c r="P4428" s="44"/>
      <c r="Q4428" s="44"/>
      <c r="R4428" s="44"/>
      <c r="S4428" s="44"/>
      <c r="T4428" s="44"/>
      <c r="U4428" s="44"/>
      <c r="V4428" s="44"/>
      <c r="W4428" s="44"/>
      <c r="X4428" s="44"/>
      <c r="Y4428" s="44"/>
    </row>
    <row r="4429" spans="14:25" ht="15" customHeight="1" x14ac:dyDescent="0.25">
      <c r="N4429" s="44"/>
      <c r="O4429" s="44"/>
      <c r="P4429" s="44"/>
      <c r="Q4429" s="44"/>
      <c r="R4429" s="44"/>
      <c r="S4429" s="44"/>
      <c r="T4429" s="44"/>
      <c r="U4429" s="44"/>
      <c r="V4429" s="44"/>
      <c r="W4429" s="44"/>
      <c r="X4429" s="44"/>
      <c r="Y4429" s="44"/>
    </row>
    <row r="4430" spans="14:25" ht="15" customHeight="1" x14ac:dyDescent="0.25">
      <c r="N4430" s="44"/>
      <c r="O4430" s="44"/>
      <c r="P4430" s="44"/>
      <c r="Q4430" s="44"/>
      <c r="R4430" s="44"/>
      <c r="S4430" s="44"/>
      <c r="T4430" s="44"/>
      <c r="U4430" s="44"/>
      <c r="V4430" s="44"/>
      <c r="W4430" s="44"/>
      <c r="X4430" s="44"/>
      <c r="Y4430" s="44"/>
    </row>
    <row r="4431" spans="14:25" ht="15" customHeight="1" x14ac:dyDescent="0.25">
      <c r="N4431" s="44"/>
      <c r="O4431" s="44"/>
      <c r="P4431" s="44"/>
      <c r="Q4431" s="44"/>
      <c r="R4431" s="44"/>
      <c r="S4431" s="44"/>
      <c r="T4431" s="44"/>
      <c r="U4431" s="44"/>
      <c r="V4431" s="44"/>
      <c r="W4431" s="44"/>
      <c r="X4431" s="44"/>
      <c r="Y4431" s="44"/>
    </row>
    <row r="4432" spans="14:25" ht="15" customHeight="1" x14ac:dyDescent="0.25">
      <c r="N4432" s="44"/>
      <c r="O4432" s="44"/>
      <c r="P4432" s="44"/>
      <c r="Q4432" s="44"/>
      <c r="R4432" s="44"/>
      <c r="S4432" s="44"/>
      <c r="T4432" s="44"/>
      <c r="U4432" s="44"/>
      <c r="V4432" s="44"/>
      <c r="W4432" s="44"/>
      <c r="X4432" s="44"/>
      <c r="Y4432" s="44"/>
    </row>
    <row r="4433" spans="14:25" ht="15" customHeight="1" x14ac:dyDescent="0.25">
      <c r="N4433" s="44"/>
      <c r="O4433" s="44"/>
      <c r="P4433" s="44"/>
      <c r="Q4433" s="44"/>
      <c r="R4433" s="44"/>
      <c r="S4433" s="44"/>
      <c r="T4433" s="44"/>
      <c r="U4433" s="44"/>
      <c r="V4433" s="44"/>
      <c r="W4433" s="44"/>
      <c r="X4433" s="44"/>
      <c r="Y4433" s="44"/>
    </row>
    <row r="4434" spans="14:25" ht="15" customHeight="1" x14ac:dyDescent="0.25">
      <c r="N4434" s="44"/>
      <c r="O4434" s="44"/>
      <c r="P4434" s="44"/>
      <c r="Q4434" s="44"/>
      <c r="R4434" s="44"/>
      <c r="S4434" s="44"/>
      <c r="T4434" s="44"/>
      <c r="U4434" s="44"/>
      <c r="V4434" s="44"/>
      <c r="W4434" s="44"/>
      <c r="X4434" s="44"/>
      <c r="Y4434" s="44"/>
    </row>
    <row r="4435" spans="14:25" ht="15" customHeight="1" x14ac:dyDescent="0.25">
      <c r="N4435" s="44"/>
      <c r="O4435" s="44"/>
      <c r="P4435" s="44"/>
      <c r="Q4435" s="44"/>
      <c r="R4435" s="44"/>
      <c r="S4435" s="44"/>
      <c r="T4435" s="44"/>
      <c r="U4435" s="44"/>
      <c r="V4435" s="44"/>
      <c r="W4435" s="44"/>
      <c r="X4435" s="44"/>
      <c r="Y4435" s="44"/>
    </row>
    <row r="4436" spans="14:25" ht="15" customHeight="1" x14ac:dyDescent="0.25">
      <c r="N4436" s="44"/>
      <c r="O4436" s="44"/>
      <c r="P4436" s="44"/>
      <c r="Q4436" s="44"/>
      <c r="R4436" s="44"/>
      <c r="S4436" s="44"/>
      <c r="T4436" s="44"/>
      <c r="U4436" s="44"/>
      <c r="V4436" s="44"/>
      <c r="W4436" s="44"/>
      <c r="X4436" s="44"/>
      <c r="Y4436" s="44"/>
    </row>
    <row r="4437" spans="14:25" ht="15" customHeight="1" x14ac:dyDescent="0.25">
      <c r="N4437" s="44"/>
      <c r="O4437" s="44"/>
      <c r="P4437" s="44"/>
      <c r="Q4437" s="44"/>
      <c r="R4437" s="44"/>
      <c r="S4437" s="44"/>
      <c r="T4437" s="44"/>
      <c r="U4437" s="44"/>
      <c r="V4437" s="44"/>
      <c r="W4437" s="44"/>
      <c r="X4437" s="44"/>
      <c r="Y4437" s="44"/>
    </row>
    <row r="4438" spans="14:25" ht="15" customHeight="1" x14ac:dyDescent="0.25">
      <c r="N4438" s="44"/>
      <c r="O4438" s="44"/>
      <c r="P4438" s="44"/>
      <c r="Q4438" s="44"/>
      <c r="R4438" s="44"/>
      <c r="S4438" s="44"/>
      <c r="T4438" s="44"/>
      <c r="U4438" s="44"/>
      <c r="V4438" s="44"/>
      <c r="W4438" s="44"/>
      <c r="X4438" s="44"/>
      <c r="Y4438" s="44"/>
    </row>
    <row r="4439" spans="14:25" ht="15" customHeight="1" x14ac:dyDescent="0.25">
      <c r="N4439" s="44"/>
      <c r="O4439" s="44"/>
      <c r="P4439" s="44"/>
      <c r="Q4439" s="44"/>
      <c r="R4439" s="44"/>
      <c r="S4439" s="44"/>
      <c r="T4439" s="44"/>
      <c r="U4439" s="44"/>
      <c r="V4439" s="44"/>
      <c r="W4439" s="44"/>
      <c r="X4439" s="44"/>
      <c r="Y4439" s="44"/>
    </row>
    <row r="4440" spans="14:25" ht="15" customHeight="1" x14ac:dyDescent="0.25">
      <c r="N4440" s="44"/>
      <c r="O4440" s="44"/>
      <c r="P4440" s="44"/>
      <c r="Q4440" s="44"/>
      <c r="R4440" s="44"/>
      <c r="S4440" s="44"/>
      <c r="T4440" s="44"/>
      <c r="U4440" s="44"/>
      <c r="V4440" s="44"/>
      <c r="W4440" s="44"/>
      <c r="X4440" s="44"/>
      <c r="Y4440" s="44"/>
    </row>
    <row r="4441" spans="14:25" ht="15" customHeight="1" x14ac:dyDescent="0.25">
      <c r="N4441" s="44"/>
      <c r="O4441" s="44"/>
      <c r="P4441" s="44"/>
      <c r="Q4441" s="44"/>
      <c r="R4441" s="44"/>
      <c r="S4441" s="44"/>
      <c r="T4441" s="44"/>
      <c r="U4441" s="44"/>
      <c r="V4441" s="44"/>
      <c r="W4441" s="44"/>
      <c r="X4441" s="44"/>
      <c r="Y4441" s="44"/>
    </row>
    <row r="4442" spans="14:25" ht="15" customHeight="1" x14ac:dyDescent="0.25">
      <c r="N4442" s="44"/>
      <c r="O4442" s="44"/>
      <c r="P4442" s="44"/>
      <c r="Q4442" s="44"/>
      <c r="R4442" s="44"/>
      <c r="S4442" s="44"/>
      <c r="T4442" s="44"/>
      <c r="U4442" s="44"/>
      <c r="V4442" s="44"/>
      <c r="W4442" s="44"/>
      <c r="X4442" s="44"/>
      <c r="Y4442" s="44"/>
    </row>
    <row r="4443" spans="14:25" ht="15" customHeight="1" x14ac:dyDescent="0.25">
      <c r="N4443" s="44"/>
      <c r="O4443" s="44"/>
      <c r="P4443" s="44"/>
      <c r="Q4443" s="44"/>
      <c r="R4443" s="44"/>
      <c r="S4443" s="44"/>
      <c r="T4443" s="44"/>
      <c r="U4443" s="44"/>
      <c r="V4443" s="44"/>
      <c r="W4443" s="44"/>
      <c r="X4443" s="44"/>
      <c r="Y4443" s="44"/>
    </row>
    <row r="4444" spans="14:25" ht="15" customHeight="1" x14ac:dyDescent="0.25">
      <c r="N4444" s="44"/>
      <c r="O4444" s="44"/>
      <c r="P4444" s="44"/>
      <c r="Q4444" s="44"/>
      <c r="R4444" s="44"/>
      <c r="S4444" s="44"/>
      <c r="T4444" s="44"/>
      <c r="U4444" s="44"/>
      <c r="V4444" s="44"/>
      <c r="W4444" s="44"/>
      <c r="X4444" s="44"/>
      <c r="Y4444" s="44"/>
    </row>
    <row r="4445" spans="14:25" ht="15" customHeight="1" x14ac:dyDescent="0.25">
      <c r="N4445" s="44"/>
      <c r="O4445" s="44"/>
      <c r="P4445" s="44"/>
      <c r="Q4445" s="44"/>
      <c r="R4445" s="44"/>
      <c r="S4445" s="44"/>
      <c r="T4445" s="44"/>
      <c r="U4445" s="44"/>
      <c r="V4445" s="44"/>
      <c r="W4445" s="44"/>
      <c r="X4445" s="44"/>
      <c r="Y4445" s="44"/>
    </row>
    <row r="4446" spans="14:25" ht="15" customHeight="1" x14ac:dyDescent="0.25">
      <c r="N4446" s="44"/>
      <c r="O4446" s="44"/>
      <c r="P4446" s="44"/>
      <c r="Q4446" s="44"/>
      <c r="R4446" s="44"/>
      <c r="S4446" s="44"/>
      <c r="T4446" s="44"/>
      <c r="U4446" s="44"/>
      <c r="V4446" s="44"/>
      <c r="W4446" s="44"/>
      <c r="X4446" s="44"/>
      <c r="Y4446" s="44"/>
    </row>
    <row r="4447" spans="14:25" ht="15" customHeight="1" x14ac:dyDescent="0.25">
      <c r="N4447" s="44"/>
      <c r="O4447" s="44"/>
      <c r="P4447" s="44"/>
      <c r="Q4447" s="44"/>
      <c r="R4447" s="44"/>
      <c r="S4447" s="44"/>
      <c r="T4447" s="44"/>
      <c r="U4447" s="44"/>
      <c r="V4447" s="44"/>
      <c r="W4447" s="44"/>
      <c r="X4447" s="44"/>
      <c r="Y4447" s="44"/>
    </row>
    <row r="4448" spans="14:25" ht="15" customHeight="1" x14ac:dyDescent="0.25">
      <c r="N4448" s="44"/>
      <c r="O4448" s="44"/>
      <c r="P4448" s="44"/>
      <c r="Q4448" s="44"/>
      <c r="R4448" s="44"/>
      <c r="S4448" s="44"/>
      <c r="T4448" s="44"/>
      <c r="U4448" s="44"/>
      <c r="V4448" s="44"/>
      <c r="W4448" s="44"/>
      <c r="X4448" s="44"/>
      <c r="Y4448" s="44"/>
    </row>
    <row r="4449" spans="14:25" ht="15" customHeight="1" x14ac:dyDescent="0.25">
      <c r="N4449" s="44"/>
      <c r="O4449" s="44"/>
      <c r="P4449" s="44"/>
      <c r="Q4449" s="44"/>
      <c r="R4449" s="44"/>
      <c r="S4449" s="44"/>
      <c r="T4449" s="44"/>
      <c r="U4449" s="44"/>
      <c r="V4449" s="44"/>
      <c r="W4449" s="44"/>
      <c r="X4449" s="44"/>
      <c r="Y4449" s="44"/>
    </row>
    <row r="4450" spans="14:25" ht="15" customHeight="1" x14ac:dyDescent="0.25">
      <c r="N4450" s="44"/>
      <c r="O4450" s="44"/>
      <c r="P4450" s="44"/>
      <c r="Q4450" s="44"/>
      <c r="R4450" s="44"/>
      <c r="S4450" s="44"/>
      <c r="T4450" s="44"/>
      <c r="U4450" s="44"/>
      <c r="V4450" s="44"/>
      <c r="W4450" s="44"/>
      <c r="X4450" s="44"/>
      <c r="Y4450" s="44"/>
    </row>
    <row r="4451" spans="14:25" ht="15" customHeight="1" x14ac:dyDescent="0.25">
      <c r="N4451" s="44"/>
      <c r="O4451" s="44"/>
      <c r="P4451" s="44"/>
      <c r="Q4451" s="44"/>
      <c r="R4451" s="44"/>
      <c r="S4451" s="44"/>
      <c r="T4451" s="44"/>
      <c r="U4451" s="44"/>
      <c r="V4451" s="44"/>
      <c r="W4451" s="44"/>
      <c r="X4451" s="44"/>
      <c r="Y4451" s="44"/>
    </row>
    <row r="4452" spans="14:25" ht="15" customHeight="1" x14ac:dyDescent="0.25">
      <c r="N4452" s="44"/>
      <c r="O4452" s="44"/>
      <c r="P4452" s="44"/>
      <c r="Q4452" s="44"/>
      <c r="R4452" s="44"/>
      <c r="S4452" s="44"/>
      <c r="T4452" s="44"/>
      <c r="U4452" s="44"/>
      <c r="V4452" s="44"/>
      <c r="W4452" s="44"/>
      <c r="X4452" s="44"/>
      <c r="Y4452" s="44"/>
    </row>
    <row r="4453" spans="14:25" ht="15" customHeight="1" x14ac:dyDescent="0.25">
      <c r="N4453" s="44"/>
      <c r="O4453" s="44"/>
      <c r="P4453" s="44"/>
      <c r="Q4453" s="44"/>
      <c r="R4453" s="44"/>
      <c r="S4453" s="44"/>
      <c r="T4453" s="44"/>
      <c r="U4453" s="44"/>
      <c r="V4453" s="44"/>
      <c r="W4453" s="44"/>
      <c r="X4453" s="44"/>
      <c r="Y4453" s="44"/>
    </row>
    <row r="4454" spans="14:25" ht="15" customHeight="1" x14ac:dyDescent="0.25">
      <c r="N4454" s="44"/>
      <c r="O4454" s="44"/>
      <c r="P4454" s="44"/>
      <c r="Q4454" s="44"/>
      <c r="R4454" s="44"/>
      <c r="S4454" s="44"/>
      <c r="T4454" s="44"/>
      <c r="U4454" s="44"/>
      <c r="V4454" s="44"/>
      <c r="W4454" s="44"/>
      <c r="X4454" s="44"/>
      <c r="Y4454" s="44"/>
    </row>
    <row r="4455" spans="14:25" ht="15" customHeight="1" x14ac:dyDescent="0.25">
      <c r="N4455" s="44"/>
      <c r="O4455" s="44"/>
      <c r="P4455" s="44"/>
      <c r="Q4455" s="44"/>
      <c r="R4455" s="44"/>
      <c r="S4455" s="44"/>
      <c r="T4455" s="44"/>
      <c r="U4455" s="44"/>
      <c r="V4455" s="44"/>
      <c r="W4455" s="44"/>
      <c r="X4455" s="44"/>
      <c r="Y4455" s="44"/>
    </row>
    <row r="4456" spans="14:25" ht="15" customHeight="1" x14ac:dyDescent="0.25">
      <c r="N4456" s="44"/>
      <c r="O4456" s="44"/>
      <c r="P4456" s="44"/>
      <c r="Q4456" s="44"/>
      <c r="R4456" s="44"/>
      <c r="S4456" s="44"/>
      <c r="T4456" s="44"/>
      <c r="U4456" s="44"/>
      <c r="V4456" s="44"/>
      <c r="W4456" s="44"/>
      <c r="X4456" s="44"/>
      <c r="Y4456" s="44"/>
    </row>
    <row r="4457" spans="14:25" ht="15" customHeight="1" x14ac:dyDescent="0.25">
      <c r="N4457" s="44"/>
      <c r="O4457" s="44"/>
      <c r="P4457" s="44"/>
      <c r="Q4457" s="44"/>
      <c r="R4457" s="44"/>
      <c r="S4457" s="44"/>
      <c r="T4457" s="44"/>
      <c r="U4457" s="44"/>
      <c r="V4457" s="44"/>
      <c r="W4457" s="44"/>
      <c r="X4457" s="44"/>
      <c r="Y4457" s="44"/>
    </row>
    <row r="4458" spans="14:25" ht="15" customHeight="1" x14ac:dyDescent="0.25">
      <c r="N4458" s="44"/>
      <c r="O4458" s="44"/>
      <c r="P4458" s="44"/>
      <c r="Q4458" s="44"/>
      <c r="R4458" s="44"/>
      <c r="S4458" s="44"/>
      <c r="T4458" s="44"/>
      <c r="U4458" s="44"/>
      <c r="V4458" s="44"/>
      <c r="W4458" s="44"/>
      <c r="X4458" s="44"/>
      <c r="Y4458" s="44"/>
    </row>
    <row r="4459" spans="14:25" ht="15" customHeight="1" x14ac:dyDescent="0.25">
      <c r="N4459" s="44"/>
      <c r="O4459" s="44"/>
      <c r="P4459" s="44"/>
      <c r="Q4459" s="44"/>
      <c r="R4459" s="44"/>
      <c r="S4459" s="44"/>
      <c r="T4459" s="44"/>
      <c r="U4459" s="44"/>
      <c r="V4459" s="44"/>
      <c r="W4459" s="44"/>
      <c r="X4459" s="44"/>
      <c r="Y4459" s="44"/>
    </row>
    <row r="4460" spans="14:25" ht="15" customHeight="1" x14ac:dyDescent="0.25">
      <c r="N4460" s="44"/>
      <c r="O4460" s="44"/>
      <c r="P4460" s="44"/>
      <c r="Q4460" s="44"/>
      <c r="R4460" s="44"/>
      <c r="S4460" s="44"/>
      <c r="T4460" s="44"/>
      <c r="U4460" s="44"/>
      <c r="V4460" s="44"/>
      <c r="W4460" s="44"/>
      <c r="X4460" s="44"/>
      <c r="Y4460" s="44"/>
    </row>
    <row r="4461" spans="14:25" ht="15" customHeight="1" x14ac:dyDescent="0.25">
      <c r="N4461" s="44"/>
      <c r="O4461" s="44"/>
      <c r="P4461" s="44"/>
      <c r="Q4461" s="44"/>
      <c r="R4461" s="44"/>
      <c r="S4461" s="44"/>
      <c r="T4461" s="44"/>
      <c r="U4461" s="44"/>
      <c r="V4461" s="44"/>
      <c r="W4461" s="44"/>
      <c r="X4461" s="44"/>
      <c r="Y4461" s="44"/>
    </row>
    <row r="4462" spans="14:25" ht="15" customHeight="1" x14ac:dyDescent="0.25">
      <c r="N4462" s="44"/>
      <c r="O4462" s="44"/>
      <c r="P4462" s="44"/>
      <c r="Q4462" s="44"/>
      <c r="R4462" s="44"/>
      <c r="S4462" s="44"/>
      <c r="T4462" s="44"/>
      <c r="U4462" s="44"/>
      <c r="V4462" s="44"/>
      <c r="W4462" s="44"/>
      <c r="X4462" s="44"/>
      <c r="Y4462" s="44"/>
    </row>
    <row r="4463" spans="14:25" ht="15" customHeight="1" x14ac:dyDescent="0.25">
      <c r="N4463" s="44"/>
      <c r="O4463" s="44"/>
      <c r="P4463" s="44"/>
      <c r="Q4463" s="44"/>
      <c r="R4463" s="44"/>
      <c r="S4463" s="44"/>
      <c r="T4463" s="44"/>
      <c r="U4463" s="44"/>
      <c r="V4463" s="44"/>
      <c r="W4463" s="44"/>
      <c r="X4463" s="44"/>
      <c r="Y4463" s="44"/>
    </row>
    <row r="4464" spans="14:25" ht="15" customHeight="1" x14ac:dyDescent="0.25">
      <c r="N4464" s="44"/>
      <c r="O4464" s="44"/>
      <c r="P4464" s="44"/>
      <c r="Q4464" s="44"/>
      <c r="R4464" s="44"/>
      <c r="S4464" s="44"/>
      <c r="T4464" s="44"/>
      <c r="U4464" s="44"/>
      <c r="V4464" s="44"/>
      <c r="W4464" s="44"/>
      <c r="X4464" s="44"/>
      <c r="Y4464" s="44"/>
    </row>
    <row r="4465" spans="14:25" ht="15" customHeight="1" x14ac:dyDescent="0.25">
      <c r="N4465" s="44"/>
      <c r="O4465" s="44"/>
      <c r="P4465" s="44"/>
      <c r="Q4465" s="44"/>
      <c r="R4465" s="44"/>
      <c r="S4465" s="44"/>
      <c r="T4465" s="44"/>
      <c r="U4465" s="44"/>
      <c r="V4465" s="44"/>
      <c r="W4465" s="44"/>
      <c r="X4465" s="44"/>
      <c r="Y4465" s="44"/>
    </row>
    <row r="4466" spans="14:25" ht="15" customHeight="1" x14ac:dyDescent="0.25">
      <c r="N4466" s="44"/>
      <c r="O4466" s="44"/>
      <c r="P4466" s="44"/>
      <c r="Q4466" s="44"/>
      <c r="R4466" s="44"/>
      <c r="S4466" s="44"/>
      <c r="T4466" s="44"/>
      <c r="U4466" s="44"/>
      <c r="V4466" s="44"/>
      <c r="W4466" s="44"/>
      <c r="X4466" s="44"/>
      <c r="Y4466" s="44"/>
    </row>
    <row r="4467" spans="14:25" ht="15" customHeight="1" x14ac:dyDescent="0.25">
      <c r="N4467" s="44"/>
      <c r="O4467" s="44"/>
      <c r="P4467" s="44"/>
      <c r="Q4467" s="44"/>
      <c r="R4467" s="44"/>
      <c r="S4467" s="44"/>
      <c r="T4467" s="44"/>
      <c r="U4467" s="44"/>
      <c r="V4467" s="44"/>
      <c r="W4467" s="44"/>
      <c r="X4467" s="44"/>
      <c r="Y4467" s="44"/>
    </row>
    <row r="4468" spans="14:25" ht="15" customHeight="1" x14ac:dyDescent="0.25">
      <c r="N4468" s="44"/>
      <c r="O4468" s="44"/>
      <c r="P4468" s="44"/>
      <c r="Q4468" s="44"/>
      <c r="R4468" s="44"/>
      <c r="S4468" s="44"/>
      <c r="T4468" s="44"/>
      <c r="U4468" s="44"/>
      <c r="V4468" s="44"/>
      <c r="W4468" s="44"/>
      <c r="X4468" s="44"/>
      <c r="Y4468" s="44"/>
    </row>
    <row r="4469" spans="14:25" ht="15" customHeight="1" x14ac:dyDescent="0.25">
      <c r="N4469" s="44"/>
      <c r="O4469" s="44"/>
      <c r="P4469" s="44"/>
      <c r="Q4469" s="44"/>
      <c r="R4469" s="44"/>
      <c r="S4469" s="44"/>
      <c r="T4469" s="44"/>
      <c r="U4469" s="44"/>
      <c r="V4469" s="44"/>
      <c r="W4469" s="44"/>
      <c r="X4469" s="44"/>
      <c r="Y4469" s="44"/>
    </row>
    <row r="4470" spans="14:25" ht="15" customHeight="1" x14ac:dyDescent="0.25">
      <c r="N4470" s="44"/>
      <c r="O4470" s="44"/>
      <c r="P4470" s="44"/>
      <c r="Q4470" s="44"/>
      <c r="R4470" s="44"/>
      <c r="S4470" s="44"/>
      <c r="T4470" s="44"/>
      <c r="U4470" s="44"/>
      <c r="V4470" s="44"/>
      <c r="W4470" s="44"/>
      <c r="X4470" s="44"/>
      <c r="Y4470" s="44"/>
    </row>
    <row r="4471" spans="14:25" ht="15" customHeight="1" x14ac:dyDescent="0.25">
      <c r="N4471" s="44"/>
      <c r="O4471" s="44"/>
      <c r="P4471" s="44"/>
      <c r="Q4471" s="44"/>
      <c r="R4471" s="44"/>
      <c r="S4471" s="44"/>
      <c r="T4471" s="44"/>
      <c r="U4471" s="44"/>
      <c r="V4471" s="44"/>
      <c r="W4471" s="44"/>
      <c r="X4471" s="44"/>
      <c r="Y4471" s="44"/>
    </row>
    <row r="4472" spans="14:25" ht="15" customHeight="1" x14ac:dyDescent="0.25">
      <c r="N4472" s="44"/>
      <c r="O4472" s="44"/>
      <c r="P4472" s="44"/>
      <c r="Q4472" s="44"/>
      <c r="R4472" s="44"/>
      <c r="S4472" s="44"/>
      <c r="T4472" s="44"/>
      <c r="U4472" s="44"/>
      <c r="V4472" s="44"/>
      <c r="W4472" s="44"/>
      <c r="X4472" s="44"/>
      <c r="Y4472" s="44"/>
    </row>
    <row r="4473" spans="14:25" ht="15" customHeight="1" x14ac:dyDescent="0.25">
      <c r="N4473" s="44"/>
      <c r="O4473" s="44"/>
      <c r="P4473" s="44"/>
      <c r="Q4473" s="44"/>
      <c r="R4473" s="44"/>
      <c r="S4473" s="44"/>
      <c r="T4473" s="44"/>
      <c r="U4473" s="44"/>
      <c r="V4473" s="44"/>
      <c r="W4473" s="44"/>
      <c r="X4473" s="44"/>
      <c r="Y4473" s="44"/>
    </row>
    <row r="4474" spans="14:25" ht="15" customHeight="1" x14ac:dyDescent="0.25">
      <c r="N4474" s="44"/>
      <c r="O4474" s="44"/>
      <c r="P4474" s="44"/>
      <c r="Q4474" s="44"/>
      <c r="R4474" s="44"/>
      <c r="S4474" s="44"/>
      <c r="T4474" s="44"/>
      <c r="U4474" s="44"/>
      <c r="V4474" s="44"/>
      <c r="W4474" s="44"/>
      <c r="X4474" s="44"/>
      <c r="Y4474" s="44"/>
    </row>
    <row r="4475" spans="14:25" ht="15" customHeight="1" x14ac:dyDescent="0.25">
      <c r="N4475" s="44"/>
      <c r="O4475" s="44"/>
      <c r="P4475" s="44"/>
      <c r="Q4475" s="44"/>
      <c r="R4475" s="44"/>
      <c r="S4475" s="44"/>
      <c r="T4475" s="44"/>
      <c r="U4475" s="44"/>
      <c r="V4475" s="44"/>
      <c r="W4475" s="44"/>
      <c r="X4475" s="44"/>
      <c r="Y4475" s="44"/>
    </row>
    <row r="4476" spans="14:25" ht="15" customHeight="1" x14ac:dyDescent="0.25">
      <c r="N4476" s="44"/>
      <c r="O4476" s="44"/>
      <c r="P4476" s="44"/>
      <c r="Q4476" s="44"/>
      <c r="R4476" s="44"/>
      <c r="S4476" s="44"/>
      <c r="T4476" s="44"/>
      <c r="U4476" s="44"/>
      <c r="V4476" s="44"/>
      <c r="W4476" s="44"/>
      <c r="X4476" s="44"/>
      <c r="Y4476" s="44"/>
    </row>
    <row r="4477" spans="14:25" ht="15" customHeight="1" x14ac:dyDescent="0.25">
      <c r="N4477" s="44"/>
      <c r="O4477" s="44"/>
      <c r="P4477" s="44"/>
      <c r="Q4477" s="44"/>
      <c r="R4477" s="44"/>
      <c r="S4477" s="44"/>
      <c r="T4477" s="44"/>
      <c r="U4477" s="44"/>
      <c r="V4477" s="44"/>
      <c r="W4477" s="44"/>
      <c r="X4477" s="44"/>
      <c r="Y4477" s="44"/>
    </row>
    <row r="4478" spans="14:25" ht="15" customHeight="1" x14ac:dyDescent="0.25">
      <c r="N4478" s="44"/>
      <c r="O4478" s="44"/>
      <c r="P4478" s="44"/>
      <c r="Q4478" s="44"/>
      <c r="R4478" s="44"/>
      <c r="S4478" s="44"/>
      <c r="T4478" s="44"/>
      <c r="U4478" s="44"/>
      <c r="V4478" s="44"/>
      <c r="W4478" s="44"/>
      <c r="X4478" s="44"/>
      <c r="Y4478" s="44"/>
    </row>
    <row r="4479" spans="14:25" ht="15" customHeight="1" x14ac:dyDescent="0.25">
      <c r="N4479" s="44"/>
      <c r="O4479" s="44"/>
      <c r="P4479" s="44"/>
      <c r="Q4479" s="44"/>
      <c r="R4479" s="44"/>
      <c r="S4479" s="44"/>
      <c r="T4479" s="44"/>
      <c r="U4479" s="44"/>
      <c r="V4479" s="44"/>
      <c r="W4479" s="44"/>
      <c r="X4479" s="44"/>
      <c r="Y4479" s="44"/>
    </row>
    <row r="4480" spans="14:25" ht="15" customHeight="1" x14ac:dyDescent="0.25">
      <c r="N4480" s="44"/>
      <c r="O4480" s="44"/>
      <c r="P4480" s="44"/>
      <c r="Q4480" s="44"/>
      <c r="R4480" s="44"/>
      <c r="S4480" s="44"/>
      <c r="T4480" s="44"/>
      <c r="U4480" s="44"/>
      <c r="V4480" s="44"/>
      <c r="W4480" s="44"/>
      <c r="X4480" s="44"/>
      <c r="Y4480" s="44"/>
    </row>
    <row r="4481" spans="14:25" ht="15" customHeight="1" x14ac:dyDescent="0.25">
      <c r="N4481" s="44"/>
      <c r="O4481" s="44"/>
      <c r="P4481" s="44"/>
      <c r="Q4481" s="44"/>
      <c r="R4481" s="44"/>
      <c r="S4481" s="44"/>
      <c r="T4481" s="44"/>
      <c r="U4481" s="44"/>
      <c r="V4481" s="44"/>
      <c r="W4481" s="44"/>
      <c r="X4481" s="44"/>
      <c r="Y4481" s="44"/>
    </row>
    <row r="4482" spans="14:25" ht="15" customHeight="1" x14ac:dyDescent="0.25">
      <c r="N4482" s="44"/>
      <c r="O4482" s="44"/>
      <c r="P4482" s="44"/>
      <c r="Q4482" s="44"/>
      <c r="R4482" s="44"/>
      <c r="S4482" s="44"/>
      <c r="T4482" s="44"/>
      <c r="U4482" s="44"/>
      <c r="V4482" s="44"/>
      <c r="W4482" s="44"/>
      <c r="X4482" s="44"/>
      <c r="Y4482" s="44"/>
    </row>
    <row r="4483" spans="14:25" ht="15" customHeight="1" x14ac:dyDescent="0.25">
      <c r="N4483" s="44"/>
      <c r="O4483" s="44"/>
      <c r="P4483" s="44"/>
      <c r="Q4483" s="44"/>
      <c r="R4483" s="44"/>
      <c r="S4483" s="44"/>
      <c r="T4483" s="44"/>
      <c r="U4483" s="44"/>
      <c r="V4483" s="44"/>
      <c r="W4483" s="44"/>
      <c r="X4483" s="44"/>
      <c r="Y4483" s="44"/>
    </row>
    <row r="4484" spans="14:25" ht="15" customHeight="1" x14ac:dyDescent="0.25">
      <c r="N4484" s="44"/>
      <c r="O4484" s="44"/>
      <c r="P4484" s="44"/>
      <c r="Q4484" s="44"/>
      <c r="R4484" s="44"/>
      <c r="S4484" s="44"/>
      <c r="T4484" s="44"/>
      <c r="U4484" s="44"/>
      <c r="V4484" s="44"/>
      <c r="W4484" s="44"/>
      <c r="X4484" s="44"/>
      <c r="Y4484" s="44"/>
    </row>
    <row r="4485" spans="14:25" ht="15" customHeight="1" x14ac:dyDescent="0.25">
      <c r="N4485" s="44"/>
      <c r="O4485" s="44"/>
      <c r="P4485" s="44"/>
      <c r="Q4485" s="44"/>
      <c r="R4485" s="44"/>
      <c r="S4485" s="44"/>
      <c r="T4485" s="44"/>
      <c r="U4485" s="44"/>
      <c r="V4485" s="44"/>
      <c r="W4485" s="44"/>
      <c r="X4485" s="44"/>
      <c r="Y4485" s="44"/>
    </row>
    <row r="4486" spans="14:25" ht="15" customHeight="1" x14ac:dyDescent="0.25">
      <c r="N4486" s="44"/>
      <c r="O4486" s="44"/>
      <c r="P4486" s="44"/>
      <c r="Q4486" s="44"/>
      <c r="R4486" s="44"/>
      <c r="S4486" s="44"/>
      <c r="T4486" s="44"/>
      <c r="U4486" s="44"/>
      <c r="V4486" s="44"/>
      <c r="W4486" s="44"/>
      <c r="X4486" s="44"/>
      <c r="Y4486" s="44"/>
    </row>
    <row r="4487" spans="14:25" ht="15" customHeight="1" x14ac:dyDescent="0.25">
      <c r="N4487" s="44"/>
      <c r="O4487" s="44"/>
      <c r="P4487" s="44"/>
      <c r="Q4487" s="44"/>
      <c r="R4487" s="44"/>
      <c r="S4487" s="44"/>
      <c r="T4487" s="44"/>
      <c r="U4487" s="44"/>
      <c r="V4487" s="44"/>
      <c r="W4487" s="44"/>
      <c r="X4487" s="44"/>
      <c r="Y4487" s="44"/>
    </row>
    <row r="4488" spans="14:25" ht="15" customHeight="1" x14ac:dyDescent="0.25">
      <c r="N4488" s="44"/>
      <c r="O4488" s="44"/>
      <c r="P4488" s="44"/>
      <c r="Q4488" s="44"/>
      <c r="R4488" s="44"/>
      <c r="S4488" s="44"/>
      <c r="T4488" s="44"/>
      <c r="U4488" s="44"/>
      <c r="V4488" s="44"/>
      <c r="W4488" s="44"/>
      <c r="X4488" s="44"/>
      <c r="Y4488" s="44"/>
    </row>
    <row r="4489" spans="14:25" ht="15" customHeight="1" x14ac:dyDescent="0.25">
      <c r="N4489" s="44"/>
      <c r="O4489" s="44"/>
      <c r="P4489" s="44"/>
      <c r="Q4489" s="44"/>
      <c r="R4489" s="44"/>
      <c r="S4489" s="44"/>
      <c r="T4489" s="44"/>
      <c r="U4489" s="44"/>
      <c r="V4489" s="44"/>
      <c r="W4489" s="44"/>
      <c r="X4489" s="44"/>
      <c r="Y4489" s="44"/>
    </row>
    <row r="4490" spans="14:25" ht="15" customHeight="1" x14ac:dyDescent="0.25">
      <c r="N4490" s="44"/>
      <c r="O4490" s="44"/>
      <c r="P4490" s="44"/>
      <c r="Q4490" s="44"/>
      <c r="R4490" s="44"/>
      <c r="S4490" s="44"/>
      <c r="T4490" s="44"/>
      <c r="U4490" s="44"/>
      <c r="V4490" s="44"/>
      <c r="W4490" s="44"/>
      <c r="X4490" s="44"/>
      <c r="Y4490" s="44"/>
    </row>
    <row r="4491" spans="14:25" ht="15" customHeight="1" x14ac:dyDescent="0.25">
      <c r="N4491" s="44"/>
      <c r="O4491" s="44"/>
      <c r="P4491" s="44"/>
      <c r="Q4491" s="44"/>
      <c r="R4491" s="44"/>
      <c r="S4491" s="44"/>
      <c r="T4491" s="44"/>
      <c r="U4491" s="44"/>
      <c r="V4491" s="44"/>
      <c r="W4491" s="44"/>
      <c r="X4491" s="44"/>
      <c r="Y4491" s="44"/>
    </row>
    <row r="4492" spans="14:25" ht="15" customHeight="1" x14ac:dyDescent="0.25">
      <c r="N4492" s="44"/>
      <c r="O4492" s="44"/>
      <c r="P4492" s="44"/>
      <c r="Q4492" s="44"/>
      <c r="R4492" s="44"/>
      <c r="S4492" s="44"/>
      <c r="T4492" s="44"/>
      <c r="U4492" s="44"/>
      <c r="V4492" s="44"/>
      <c r="W4492" s="44"/>
      <c r="X4492" s="44"/>
      <c r="Y4492" s="44"/>
    </row>
    <row r="4493" spans="14:25" ht="15" customHeight="1" x14ac:dyDescent="0.25">
      <c r="N4493" s="44"/>
      <c r="O4493" s="44"/>
      <c r="P4493" s="44"/>
      <c r="Q4493" s="44"/>
      <c r="R4493" s="44"/>
      <c r="S4493" s="44"/>
      <c r="T4493" s="44"/>
      <c r="U4493" s="44"/>
      <c r="V4493" s="44"/>
      <c r="W4493" s="44"/>
      <c r="X4493" s="44"/>
      <c r="Y4493" s="44"/>
    </row>
    <row r="4494" spans="14:25" ht="15" customHeight="1" x14ac:dyDescent="0.25">
      <c r="N4494" s="44"/>
      <c r="O4494" s="44"/>
      <c r="P4494" s="44"/>
      <c r="Q4494" s="44"/>
      <c r="R4494" s="44"/>
      <c r="S4494" s="44"/>
      <c r="T4494" s="44"/>
      <c r="U4494" s="44"/>
      <c r="V4494" s="44"/>
      <c r="W4494" s="44"/>
      <c r="X4494" s="44"/>
      <c r="Y4494" s="44"/>
    </row>
    <row r="4495" spans="14:25" ht="15" customHeight="1" x14ac:dyDescent="0.25">
      <c r="N4495" s="44"/>
      <c r="O4495" s="44"/>
      <c r="P4495" s="44"/>
      <c r="Q4495" s="44"/>
      <c r="R4495" s="44"/>
      <c r="S4495" s="44"/>
      <c r="T4495" s="44"/>
      <c r="U4495" s="44"/>
      <c r="V4495" s="44"/>
      <c r="W4495" s="44"/>
      <c r="X4495" s="44"/>
      <c r="Y4495" s="44"/>
    </row>
    <row r="4496" spans="14:25" ht="15" customHeight="1" x14ac:dyDescent="0.25">
      <c r="N4496" s="44"/>
      <c r="O4496" s="44"/>
      <c r="P4496" s="44"/>
      <c r="Q4496" s="44"/>
      <c r="R4496" s="44"/>
      <c r="S4496" s="44"/>
      <c r="T4496" s="44"/>
      <c r="U4496" s="44"/>
      <c r="V4496" s="44"/>
      <c r="W4496" s="44"/>
      <c r="X4496" s="44"/>
      <c r="Y4496" s="44"/>
    </row>
    <row r="4497" spans="14:25" ht="15" customHeight="1" x14ac:dyDescent="0.25">
      <c r="N4497" s="44"/>
      <c r="O4497" s="44"/>
      <c r="P4497" s="44"/>
      <c r="Q4497" s="44"/>
      <c r="R4497" s="44"/>
      <c r="S4497" s="44"/>
      <c r="T4497" s="44"/>
      <c r="U4497" s="44"/>
      <c r="V4497" s="44"/>
      <c r="W4497" s="44"/>
      <c r="X4497" s="44"/>
      <c r="Y4497" s="44"/>
    </row>
    <row r="4498" spans="14:25" ht="15" customHeight="1" x14ac:dyDescent="0.25">
      <c r="N4498" s="44"/>
      <c r="O4498" s="44"/>
      <c r="P4498" s="44"/>
      <c r="Q4498" s="44"/>
      <c r="R4498" s="44"/>
      <c r="S4498" s="44"/>
      <c r="T4498" s="44"/>
      <c r="U4498" s="44"/>
      <c r="V4498" s="44"/>
      <c r="W4498" s="44"/>
      <c r="X4498" s="44"/>
      <c r="Y4498" s="44"/>
    </row>
    <row r="4499" spans="14:25" ht="15" customHeight="1" x14ac:dyDescent="0.25">
      <c r="N4499" s="44"/>
      <c r="O4499" s="44"/>
      <c r="P4499" s="44"/>
      <c r="Q4499" s="44"/>
      <c r="R4499" s="44"/>
      <c r="S4499" s="44"/>
      <c r="T4499" s="44"/>
      <c r="U4499" s="44"/>
      <c r="V4499" s="44"/>
      <c r="W4499" s="44"/>
      <c r="X4499" s="44"/>
      <c r="Y4499" s="44"/>
    </row>
    <row r="4500" spans="14:25" ht="15" customHeight="1" x14ac:dyDescent="0.25">
      <c r="N4500" s="44"/>
      <c r="O4500" s="44"/>
      <c r="P4500" s="44"/>
      <c r="Q4500" s="44"/>
      <c r="R4500" s="44"/>
      <c r="S4500" s="44"/>
      <c r="T4500" s="44"/>
      <c r="U4500" s="44"/>
      <c r="V4500" s="44"/>
      <c r="W4500" s="44"/>
      <c r="X4500" s="44"/>
      <c r="Y4500" s="44"/>
    </row>
    <row r="4501" spans="14:25" ht="15" customHeight="1" x14ac:dyDescent="0.25">
      <c r="N4501" s="44"/>
      <c r="O4501" s="44"/>
      <c r="P4501" s="44"/>
      <c r="Q4501" s="44"/>
      <c r="R4501" s="44"/>
      <c r="S4501" s="44"/>
      <c r="T4501" s="44"/>
      <c r="U4501" s="44"/>
      <c r="V4501" s="44"/>
      <c r="W4501" s="44"/>
      <c r="X4501" s="44"/>
      <c r="Y4501" s="44"/>
    </row>
    <row r="4502" spans="14:25" ht="15" customHeight="1" x14ac:dyDescent="0.25">
      <c r="N4502" s="44"/>
      <c r="O4502" s="44"/>
      <c r="P4502" s="44"/>
      <c r="Q4502" s="44"/>
      <c r="R4502" s="44"/>
      <c r="S4502" s="44"/>
      <c r="T4502" s="44"/>
      <c r="U4502" s="44"/>
      <c r="V4502" s="44"/>
      <c r="W4502" s="44"/>
      <c r="X4502" s="44"/>
      <c r="Y4502" s="44"/>
    </row>
    <row r="4503" spans="14:25" ht="15" customHeight="1" x14ac:dyDescent="0.25">
      <c r="N4503" s="44"/>
      <c r="O4503" s="44"/>
      <c r="P4503" s="44"/>
      <c r="Q4503" s="44"/>
      <c r="R4503" s="44"/>
      <c r="S4503" s="44"/>
      <c r="T4503" s="44"/>
      <c r="U4503" s="44"/>
      <c r="V4503" s="44"/>
      <c r="W4503" s="44"/>
      <c r="X4503" s="44"/>
      <c r="Y4503" s="44"/>
    </row>
    <row r="4504" spans="14:25" ht="15" customHeight="1" x14ac:dyDescent="0.25">
      <c r="N4504" s="44"/>
      <c r="O4504" s="44"/>
      <c r="P4504" s="44"/>
      <c r="Q4504" s="44"/>
      <c r="R4504" s="44"/>
      <c r="S4504" s="44"/>
      <c r="T4504" s="44"/>
      <c r="U4504" s="44"/>
      <c r="V4504" s="44"/>
      <c r="W4504" s="44"/>
      <c r="X4504" s="44"/>
      <c r="Y4504" s="44"/>
    </row>
    <row r="4505" spans="14:25" ht="15" customHeight="1" x14ac:dyDescent="0.25">
      <c r="N4505" s="44"/>
      <c r="O4505" s="44"/>
      <c r="P4505" s="44"/>
      <c r="Q4505" s="44"/>
      <c r="R4505" s="44"/>
      <c r="S4505" s="44"/>
      <c r="T4505" s="44"/>
      <c r="U4505" s="44"/>
      <c r="V4505" s="44"/>
      <c r="W4505" s="44"/>
      <c r="X4505" s="44"/>
      <c r="Y4505" s="44"/>
    </row>
    <row r="4506" spans="14:25" ht="15" customHeight="1" x14ac:dyDescent="0.25">
      <c r="N4506" s="44"/>
      <c r="O4506" s="44"/>
      <c r="P4506" s="44"/>
      <c r="Q4506" s="44"/>
      <c r="R4506" s="44"/>
      <c r="S4506" s="44"/>
      <c r="T4506" s="44"/>
      <c r="U4506" s="44"/>
      <c r="V4506" s="44"/>
      <c r="W4506" s="44"/>
      <c r="X4506" s="44"/>
      <c r="Y4506" s="44"/>
    </row>
    <row r="4507" spans="14:25" ht="15" customHeight="1" x14ac:dyDescent="0.25">
      <c r="N4507" s="44"/>
      <c r="O4507" s="44"/>
      <c r="P4507" s="44"/>
      <c r="Q4507" s="44"/>
      <c r="R4507" s="44"/>
      <c r="S4507" s="44"/>
      <c r="T4507" s="44"/>
      <c r="U4507" s="44"/>
      <c r="V4507" s="44"/>
      <c r="W4507" s="44"/>
      <c r="X4507" s="44"/>
      <c r="Y4507" s="44"/>
    </row>
    <row r="4508" spans="14:25" ht="15" customHeight="1" x14ac:dyDescent="0.25">
      <c r="N4508" s="44"/>
      <c r="O4508" s="44"/>
      <c r="P4508" s="44"/>
      <c r="Q4508" s="44"/>
      <c r="R4508" s="44"/>
      <c r="S4508" s="44"/>
      <c r="T4508" s="44"/>
      <c r="U4508" s="44"/>
      <c r="V4508" s="44"/>
      <c r="W4508" s="44"/>
      <c r="X4508" s="44"/>
      <c r="Y4508" s="44"/>
    </row>
    <row r="4509" spans="14:25" ht="15" customHeight="1" x14ac:dyDescent="0.25">
      <c r="N4509" s="44"/>
      <c r="O4509" s="44"/>
      <c r="P4509" s="44"/>
      <c r="Q4509" s="44"/>
      <c r="R4509" s="44"/>
      <c r="S4509" s="44"/>
      <c r="T4509" s="44"/>
      <c r="U4509" s="44"/>
      <c r="V4509" s="44"/>
      <c r="W4509" s="44"/>
      <c r="X4509" s="44"/>
      <c r="Y4509" s="44"/>
    </row>
    <row r="4510" spans="14:25" ht="15" customHeight="1" x14ac:dyDescent="0.25">
      <c r="N4510" s="44"/>
      <c r="O4510" s="44"/>
      <c r="P4510" s="44"/>
      <c r="Q4510" s="44"/>
      <c r="R4510" s="44"/>
      <c r="S4510" s="44"/>
      <c r="T4510" s="44"/>
      <c r="U4510" s="44"/>
      <c r="V4510" s="44"/>
      <c r="W4510" s="44"/>
      <c r="X4510" s="44"/>
      <c r="Y4510" s="44"/>
    </row>
    <row r="4511" spans="14:25" ht="15" customHeight="1" x14ac:dyDescent="0.25">
      <c r="N4511" s="44"/>
      <c r="O4511" s="44"/>
      <c r="P4511" s="44"/>
      <c r="Q4511" s="44"/>
      <c r="R4511" s="44"/>
      <c r="S4511" s="44"/>
      <c r="T4511" s="44"/>
      <c r="U4511" s="44"/>
      <c r="V4511" s="44"/>
      <c r="W4511" s="44"/>
      <c r="X4511" s="44"/>
      <c r="Y4511" s="44"/>
    </row>
    <row r="4512" spans="14:25" ht="15" customHeight="1" x14ac:dyDescent="0.25">
      <c r="N4512" s="44"/>
      <c r="O4512" s="44"/>
      <c r="P4512" s="44"/>
      <c r="Q4512" s="44"/>
      <c r="R4512" s="44"/>
      <c r="S4512" s="44"/>
      <c r="T4512" s="44"/>
      <c r="U4512" s="44"/>
      <c r="V4512" s="44"/>
      <c r="W4512" s="44"/>
      <c r="X4512" s="44"/>
      <c r="Y4512" s="44"/>
    </row>
    <row r="4513" spans="14:25" ht="15" customHeight="1" x14ac:dyDescent="0.25">
      <c r="N4513" s="44"/>
      <c r="O4513" s="44"/>
      <c r="P4513" s="44"/>
      <c r="Q4513" s="44"/>
      <c r="R4513" s="44"/>
      <c r="S4513" s="44"/>
      <c r="T4513" s="44"/>
      <c r="U4513" s="44"/>
      <c r="V4513" s="44"/>
      <c r="W4513" s="44"/>
      <c r="X4513" s="44"/>
      <c r="Y4513" s="44"/>
    </row>
    <row r="4514" spans="14:25" ht="15" customHeight="1" x14ac:dyDescent="0.25">
      <c r="N4514" s="44"/>
      <c r="O4514" s="44"/>
      <c r="P4514" s="44"/>
      <c r="Q4514" s="44"/>
      <c r="R4514" s="44"/>
      <c r="S4514" s="44"/>
      <c r="T4514" s="44"/>
      <c r="U4514" s="44"/>
      <c r="V4514" s="44"/>
      <c r="W4514" s="44"/>
      <c r="X4514" s="44"/>
      <c r="Y4514" s="44"/>
    </row>
    <row r="4515" spans="14:25" ht="15" customHeight="1" x14ac:dyDescent="0.25">
      <c r="N4515" s="44"/>
      <c r="O4515" s="44"/>
      <c r="P4515" s="44"/>
      <c r="Q4515" s="44"/>
      <c r="R4515" s="44"/>
      <c r="S4515" s="44"/>
      <c r="T4515" s="44"/>
      <c r="U4515" s="44"/>
      <c r="V4515" s="44"/>
      <c r="W4515" s="44"/>
      <c r="X4515" s="44"/>
      <c r="Y4515" s="44"/>
    </row>
    <row r="4516" spans="14:25" ht="15" customHeight="1" x14ac:dyDescent="0.25">
      <c r="N4516" s="44"/>
      <c r="O4516" s="44"/>
      <c r="P4516" s="44"/>
      <c r="Q4516" s="44"/>
      <c r="R4516" s="44"/>
      <c r="S4516" s="44"/>
      <c r="T4516" s="44"/>
      <c r="U4516" s="44"/>
      <c r="V4516" s="44"/>
      <c r="W4516" s="44"/>
      <c r="X4516" s="44"/>
      <c r="Y4516" s="44"/>
    </row>
    <row r="4517" spans="14:25" ht="15" customHeight="1" x14ac:dyDescent="0.25">
      <c r="N4517" s="44"/>
      <c r="O4517" s="44"/>
      <c r="P4517" s="44"/>
      <c r="Q4517" s="44"/>
      <c r="R4517" s="44"/>
      <c r="S4517" s="44"/>
      <c r="T4517" s="44"/>
      <c r="U4517" s="44"/>
      <c r="V4517" s="44"/>
      <c r="W4517" s="44"/>
      <c r="X4517" s="44"/>
      <c r="Y4517" s="44"/>
    </row>
    <row r="4518" spans="14:25" ht="15" customHeight="1" x14ac:dyDescent="0.25">
      <c r="N4518" s="44"/>
      <c r="O4518" s="44"/>
      <c r="P4518" s="44"/>
      <c r="Q4518" s="44"/>
      <c r="R4518" s="44"/>
      <c r="S4518" s="44"/>
      <c r="T4518" s="44"/>
      <c r="U4518" s="44"/>
      <c r="V4518" s="44"/>
      <c r="W4518" s="44"/>
      <c r="X4518" s="44"/>
      <c r="Y4518" s="44"/>
    </row>
    <row r="4519" spans="14:25" ht="15" customHeight="1" x14ac:dyDescent="0.25">
      <c r="N4519" s="44"/>
      <c r="O4519" s="44"/>
      <c r="P4519" s="44"/>
      <c r="Q4519" s="44"/>
      <c r="R4519" s="44"/>
      <c r="S4519" s="44"/>
      <c r="T4519" s="44"/>
      <c r="U4519" s="44"/>
      <c r="V4519" s="44"/>
      <c r="W4519" s="44"/>
      <c r="X4519" s="44"/>
      <c r="Y4519" s="44"/>
    </row>
    <row r="4520" spans="14:25" ht="15" customHeight="1" x14ac:dyDescent="0.25">
      <c r="N4520" s="44"/>
      <c r="O4520" s="44"/>
      <c r="P4520" s="44"/>
      <c r="Q4520" s="44"/>
      <c r="R4520" s="44"/>
      <c r="S4520" s="44"/>
      <c r="T4520" s="44"/>
      <c r="U4520" s="44"/>
      <c r="V4520" s="44"/>
      <c r="W4520" s="44"/>
      <c r="X4520" s="44"/>
      <c r="Y4520" s="44"/>
    </row>
    <row r="4521" spans="14:25" ht="15" customHeight="1" x14ac:dyDescent="0.25">
      <c r="N4521" s="44"/>
      <c r="O4521" s="44"/>
      <c r="P4521" s="44"/>
      <c r="Q4521" s="44"/>
      <c r="R4521" s="44"/>
      <c r="S4521" s="44"/>
      <c r="T4521" s="44"/>
      <c r="U4521" s="44"/>
      <c r="V4521" s="44"/>
      <c r="W4521" s="44"/>
      <c r="X4521" s="44"/>
      <c r="Y4521" s="44"/>
    </row>
    <row r="4522" spans="14:25" ht="15" customHeight="1" x14ac:dyDescent="0.25">
      <c r="N4522" s="44"/>
      <c r="O4522" s="44"/>
      <c r="P4522" s="44"/>
      <c r="Q4522" s="44"/>
      <c r="R4522" s="44"/>
      <c r="S4522" s="44"/>
      <c r="T4522" s="44"/>
      <c r="U4522" s="44"/>
      <c r="V4522" s="44"/>
      <c r="W4522" s="44"/>
      <c r="X4522" s="44"/>
      <c r="Y4522" s="44"/>
    </row>
    <row r="4523" spans="14:25" ht="15" customHeight="1" x14ac:dyDescent="0.25">
      <c r="N4523" s="44"/>
      <c r="O4523" s="44"/>
      <c r="P4523" s="44"/>
      <c r="Q4523" s="44"/>
      <c r="R4523" s="44"/>
      <c r="S4523" s="44"/>
      <c r="T4523" s="44"/>
      <c r="U4523" s="44"/>
      <c r="V4523" s="44"/>
      <c r="W4523" s="44"/>
      <c r="X4523" s="44"/>
      <c r="Y4523" s="44"/>
    </row>
    <row r="4524" spans="14:25" ht="15" customHeight="1" x14ac:dyDescent="0.25">
      <c r="N4524" s="44"/>
      <c r="O4524" s="44"/>
      <c r="P4524" s="44"/>
      <c r="Q4524" s="44"/>
      <c r="R4524" s="44"/>
      <c r="S4524" s="44"/>
      <c r="T4524" s="44"/>
      <c r="U4524" s="44"/>
      <c r="V4524" s="44"/>
      <c r="W4524" s="44"/>
      <c r="X4524" s="44"/>
      <c r="Y4524" s="44"/>
    </row>
    <row r="4525" spans="14:25" ht="15" customHeight="1" x14ac:dyDescent="0.25">
      <c r="N4525" s="44"/>
      <c r="O4525" s="44"/>
      <c r="P4525" s="44"/>
      <c r="Q4525" s="44"/>
      <c r="R4525" s="44"/>
      <c r="S4525" s="44"/>
      <c r="T4525" s="44"/>
      <c r="U4525" s="44"/>
      <c r="V4525" s="44"/>
      <c r="W4525" s="44"/>
      <c r="X4525" s="44"/>
      <c r="Y4525" s="44"/>
    </row>
    <row r="4526" spans="14:25" ht="15" customHeight="1" x14ac:dyDescent="0.25">
      <c r="N4526" s="44"/>
      <c r="O4526" s="44"/>
      <c r="P4526" s="44"/>
      <c r="Q4526" s="44"/>
      <c r="R4526" s="44"/>
      <c r="S4526" s="44"/>
      <c r="T4526" s="44"/>
      <c r="U4526" s="44"/>
      <c r="V4526" s="44"/>
      <c r="W4526" s="44"/>
      <c r="X4526" s="44"/>
      <c r="Y4526" s="44"/>
    </row>
    <row r="4527" spans="14:25" ht="15" customHeight="1" x14ac:dyDescent="0.25">
      <c r="N4527" s="44"/>
      <c r="O4527" s="44"/>
      <c r="P4527" s="44"/>
      <c r="Q4527" s="44"/>
      <c r="R4527" s="44"/>
      <c r="S4527" s="44"/>
      <c r="T4527" s="44"/>
      <c r="U4527" s="44"/>
      <c r="V4527" s="44"/>
      <c r="W4527" s="44"/>
      <c r="X4527" s="44"/>
      <c r="Y4527" s="44"/>
    </row>
    <row r="4528" spans="14:25" ht="15" customHeight="1" x14ac:dyDescent="0.25">
      <c r="N4528" s="44"/>
      <c r="O4528" s="44"/>
      <c r="P4528" s="44"/>
      <c r="Q4528" s="44"/>
      <c r="R4528" s="44"/>
      <c r="S4528" s="44"/>
      <c r="T4528" s="44"/>
      <c r="U4528" s="44"/>
      <c r="V4528" s="44"/>
      <c r="W4528" s="44"/>
      <c r="X4528" s="44"/>
      <c r="Y4528" s="44"/>
    </row>
    <row r="4529" spans="14:25" ht="15" customHeight="1" x14ac:dyDescent="0.25">
      <c r="N4529" s="44"/>
      <c r="O4529" s="44"/>
      <c r="P4529" s="44"/>
      <c r="Q4529" s="44"/>
      <c r="R4529" s="44"/>
      <c r="S4529" s="44"/>
      <c r="T4529" s="44"/>
      <c r="U4529" s="44"/>
      <c r="V4529" s="44"/>
      <c r="W4529" s="44"/>
      <c r="X4529" s="44"/>
      <c r="Y4529" s="44"/>
    </row>
    <row r="4530" spans="14:25" ht="15" customHeight="1" x14ac:dyDescent="0.25">
      <c r="N4530" s="44"/>
      <c r="O4530" s="44"/>
      <c r="P4530" s="44"/>
      <c r="Q4530" s="44"/>
      <c r="R4530" s="44"/>
      <c r="S4530" s="44"/>
      <c r="T4530" s="44"/>
      <c r="U4530" s="44"/>
      <c r="V4530" s="44"/>
      <c r="W4530" s="44"/>
      <c r="X4530" s="44"/>
      <c r="Y4530" s="44"/>
    </row>
    <row r="4531" spans="14:25" ht="15" customHeight="1" x14ac:dyDescent="0.25">
      <c r="N4531" s="44"/>
      <c r="O4531" s="44"/>
      <c r="P4531" s="44"/>
      <c r="Q4531" s="44"/>
      <c r="R4531" s="44"/>
      <c r="S4531" s="44"/>
      <c r="T4531" s="44"/>
      <c r="U4531" s="44"/>
      <c r="V4531" s="44"/>
      <c r="W4531" s="44"/>
      <c r="X4531" s="44"/>
      <c r="Y4531" s="44"/>
    </row>
    <row r="4532" spans="14:25" ht="15" customHeight="1" x14ac:dyDescent="0.25">
      <c r="N4532" s="44"/>
      <c r="O4532" s="44"/>
      <c r="P4532" s="44"/>
      <c r="Q4532" s="44"/>
      <c r="R4532" s="44"/>
      <c r="S4532" s="44"/>
      <c r="T4532" s="44"/>
      <c r="U4532" s="44"/>
      <c r="V4532" s="44"/>
      <c r="W4532" s="44"/>
      <c r="X4532" s="44"/>
      <c r="Y4532" s="44"/>
    </row>
    <row r="4533" spans="14:25" ht="15" customHeight="1" x14ac:dyDescent="0.25">
      <c r="N4533" s="44"/>
      <c r="O4533" s="44"/>
      <c r="P4533" s="44"/>
      <c r="Q4533" s="44"/>
      <c r="R4533" s="44"/>
      <c r="S4533" s="44"/>
      <c r="T4533" s="44"/>
      <c r="U4533" s="44"/>
      <c r="V4533" s="44"/>
      <c r="W4533" s="44"/>
      <c r="X4533" s="44"/>
      <c r="Y4533" s="44"/>
    </row>
    <row r="4534" spans="14:25" ht="15" customHeight="1" x14ac:dyDescent="0.25">
      <c r="N4534" s="44"/>
      <c r="O4534" s="44"/>
      <c r="P4534" s="44"/>
      <c r="Q4534" s="44"/>
      <c r="R4534" s="44"/>
      <c r="S4534" s="44"/>
      <c r="T4534" s="44"/>
      <c r="U4534" s="44"/>
      <c r="V4534" s="44"/>
      <c r="W4534" s="44"/>
      <c r="X4534" s="44"/>
      <c r="Y4534" s="44"/>
    </row>
    <row r="4535" spans="14:25" ht="15" customHeight="1" x14ac:dyDescent="0.25">
      <c r="N4535" s="44"/>
      <c r="O4535" s="44"/>
      <c r="P4535" s="44"/>
      <c r="Q4535" s="44"/>
      <c r="R4535" s="44"/>
      <c r="S4535" s="44"/>
      <c r="T4535" s="44"/>
      <c r="U4535" s="44"/>
      <c r="V4535" s="44"/>
      <c r="W4535" s="44"/>
      <c r="X4535" s="44"/>
      <c r="Y4535" s="44"/>
    </row>
    <row r="4536" spans="14:25" ht="15" customHeight="1" x14ac:dyDescent="0.25">
      <c r="N4536" s="44"/>
      <c r="O4536" s="44"/>
      <c r="P4536" s="44"/>
      <c r="Q4536" s="44"/>
      <c r="R4536" s="44"/>
      <c r="S4536" s="44"/>
      <c r="T4536" s="44"/>
      <c r="U4536" s="44"/>
      <c r="V4536" s="44"/>
      <c r="W4536" s="44"/>
      <c r="X4536" s="44"/>
      <c r="Y4536" s="44"/>
    </row>
    <row r="4537" spans="14:25" ht="15" customHeight="1" x14ac:dyDescent="0.25">
      <c r="N4537" s="44"/>
      <c r="O4537" s="44"/>
      <c r="P4537" s="44"/>
      <c r="Q4537" s="44"/>
      <c r="R4537" s="44"/>
      <c r="S4537" s="44"/>
      <c r="T4537" s="44"/>
      <c r="U4537" s="44"/>
      <c r="V4537" s="44"/>
      <c r="W4537" s="44"/>
      <c r="X4537" s="44"/>
      <c r="Y4537" s="44"/>
    </row>
    <row r="4538" spans="14:25" ht="15" customHeight="1" x14ac:dyDescent="0.25">
      <c r="N4538" s="44"/>
      <c r="O4538" s="44"/>
      <c r="P4538" s="44"/>
      <c r="Q4538" s="44"/>
      <c r="R4538" s="44"/>
      <c r="S4538" s="44"/>
      <c r="T4538" s="44"/>
      <c r="U4538" s="44"/>
      <c r="V4538" s="44"/>
      <c r="W4538" s="44"/>
      <c r="X4538" s="44"/>
      <c r="Y4538" s="44"/>
    </row>
    <row r="4539" spans="14:25" ht="15" customHeight="1" x14ac:dyDescent="0.25">
      <c r="N4539" s="44"/>
      <c r="O4539" s="44"/>
      <c r="P4539" s="44"/>
      <c r="Q4539" s="44"/>
      <c r="R4539" s="44"/>
      <c r="S4539" s="44"/>
      <c r="T4539" s="44"/>
      <c r="U4539" s="44"/>
      <c r="V4539" s="44"/>
      <c r="W4539" s="44"/>
      <c r="X4539" s="44"/>
      <c r="Y4539" s="44"/>
    </row>
    <row r="4540" spans="14:25" ht="15" customHeight="1" x14ac:dyDescent="0.25">
      <c r="N4540" s="44"/>
      <c r="O4540" s="44"/>
      <c r="P4540" s="44"/>
      <c r="Q4540" s="44"/>
      <c r="R4540" s="44"/>
      <c r="S4540" s="44"/>
      <c r="T4540" s="44"/>
      <c r="U4540" s="44"/>
      <c r="V4540" s="44"/>
      <c r="W4540" s="44"/>
      <c r="X4540" s="44"/>
      <c r="Y4540" s="44"/>
    </row>
    <row r="4541" spans="14:25" ht="15" customHeight="1" x14ac:dyDescent="0.25">
      <c r="N4541" s="44"/>
      <c r="O4541" s="44"/>
      <c r="P4541" s="44"/>
      <c r="Q4541" s="44"/>
      <c r="R4541" s="44"/>
      <c r="S4541" s="44"/>
      <c r="T4541" s="44"/>
      <c r="U4541" s="44"/>
      <c r="V4541" s="44"/>
      <c r="W4541" s="44"/>
      <c r="X4541" s="44"/>
      <c r="Y4541" s="44"/>
    </row>
    <row r="4542" spans="14:25" ht="15" customHeight="1" x14ac:dyDescent="0.25">
      <c r="N4542" s="44"/>
      <c r="O4542" s="44"/>
      <c r="P4542" s="44"/>
      <c r="Q4542" s="44"/>
      <c r="R4542" s="44"/>
      <c r="S4542" s="44"/>
      <c r="T4542" s="44"/>
      <c r="U4542" s="44"/>
      <c r="V4542" s="44"/>
      <c r="W4542" s="44"/>
      <c r="X4542" s="44"/>
      <c r="Y4542" s="44"/>
    </row>
    <row r="4543" spans="14:25" ht="15" customHeight="1" x14ac:dyDescent="0.25">
      <c r="N4543" s="44"/>
      <c r="O4543" s="44"/>
      <c r="P4543" s="44"/>
      <c r="Q4543" s="44"/>
      <c r="R4543" s="44"/>
      <c r="S4543" s="44"/>
      <c r="T4543" s="44"/>
      <c r="U4543" s="44"/>
      <c r="V4543" s="44"/>
      <c r="W4543" s="44"/>
      <c r="X4543" s="44"/>
      <c r="Y4543" s="44"/>
    </row>
    <row r="4544" spans="14:25" ht="15" customHeight="1" x14ac:dyDescent="0.25">
      <c r="N4544" s="44"/>
      <c r="O4544" s="44"/>
      <c r="P4544" s="44"/>
      <c r="Q4544" s="44"/>
      <c r="R4544" s="44"/>
      <c r="S4544" s="44"/>
      <c r="T4544" s="44"/>
      <c r="U4544" s="44"/>
      <c r="V4544" s="44"/>
      <c r="W4544" s="44"/>
      <c r="X4544" s="44"/>
      <c r="Y4544" s="44"/>
    </row>
    <row r="4545" spans="14:25" ht="15" customHeight="1" x14ac:dyDescent="0.25">
      <c r="N4545" s="44"/>
      <c r="O4545" s="44"/>
      <c r="P4545" s="44"/>
      <c r="Q4545" s="44"/>
      <c r="R4545" s="44"/>
      <c r="S4545" s="44"/>
      <c r="T4545" s="44"/>
      <c r="U4545" s="44"/>
      <c r="V4545" s="44"/>
      <c r="W4545" s="44"/>
      <c r="X4545" s="44"/>
      <c r="Y4545" s="44"/>
    </row>
    <row r="4546" spans="14:25" ht="15" customHeight="1" x14ac:dyDescent="0.25">
      <c r="N4546" s="44"/>
      <c r="O4546" s="44"/>
      <c r="P4546" s="44"/>
      <c r="Q4546" s="44"/>
      <c r="R4546" s="44"/>
      <c r="S4546" s="44"/>
      <c r="T4546" s="44"/>
      <c r="U4546" s="44"/>
      <c r="V4546" s="44"/>
      <c r="W4546" s="44"/>
      <c r="X4546" s="44"/>
      <c r="Y4546" s="44"/>
    </row>
    <row r="4547" spans="14:25" ht="15" customHeight="1" x14ac:dyDescent="0.25">
      <c r="N4547" s="44"/>
      <c r="O4547" s="44"/>
      <c r="P4547" s="44"/>
      <c r="Q4547" s="44"/>
      <c r="R4547" s="44"/>
      <c r="S4547" s="44"/>
      <c r="T4547" s="44"/>
      <c r="U4547" s="44"/>
      <c r="V4547" s="44"/>
      <c r="W4547" s="44"/>
      <c r="X4547" s="44"/>
      <c r="Y4547" s="44"/>
    </row>
    <row r="4548" spans="14:25" ht="15" customHeight="1" x14ac:dyDescent="0.25">
      <c r="N4548" s="44"/>
      <c r="O4548" s="44"/>
      <c r="P4548" s="44"/>
      <c r="Q4548" s="44"/>
      <c r="R4548" s="44"/>
      <c r="S4548" s="44"/>
      <c r="T4548" s="44"/>
      <c r="U4548" s="44"/>
      <c r="V4548" s="44"/>
      <c r="W4548" s="44"/>
      <c r="X4548" s="44"/>
      <c r="Y4548" s="44"/>
    </row>
    <row r="4549" spans="14:25" ht="15" customHeight="1" x14ac:dyDescent="0.25">
      <c r="N4549" s="44"/>
      <c r="O4549" s="44"/>
      <c r="P4549" s="44"/>
      <c r="Q4549" s="44"/>
      <c r="R4549" s="44"/>
      <c r="S4549" s="44"/>
      <c r="T4549" s="44"/>
      <c r="U4549" s="44"/>
      <c r="V4549" s="44"/>
      <c r="W4549" s="44"/>
      <c r="X4549" s="44"/>
      <c r="Y4549" s="44"/>
    </row>
    <row r="4550" spans="14:25" ht="15" customHeight="1" x14ac:dyDescent="0.25">
      <c r="N4550" s="44"/>
      <c r="O4550" s="44"/>
      <c r="P4550" s="44"/>
      <c r="Q4550" s="44"/>
      <c r="R4550" s="44"/>
      <c r="S4550" s="44"/>
      <c r="T4550" s="44"/>
      <c r="U4550" s="44"/>
      <c r="V4550" s="44"/>
      <c r="W4550" s="44"/>
      <c r="X4550" s="44"/>
      <c r="Y4550" s="44"/>
    </row>
    <row r="4551" spans="14:25" ht="15" customHeight="1" x14ac:dyDescent="0.25">
      <c r="N4551" s="44"/>
      <c r="O4551" s="44"/>
      <c r="P4551" s="44"/>
      <c r="Q4551" s="44"/>
      <c r="R4551" s="44"/>
      <c r="S4551" s="44"/>
      <c r="T4551" s="44"/>
      <c r="U4551" s="44"/>
      <c r="V4551" s="44"/>
      <c r="W4551" s="44"/>
      <c r="X4551" s="44"/>
      <c r="Y4551" s="44"/>
    </row>
    <row r="4552" spans="14:25" ht="15" customHeight="1" x14ac:dyDescent="0.25">
      <c r="N4552" s="44"/>
      <c r="O4552" s="44"/>
      <c r="P4552" s="44"/>
      <c r="Q4552" s="44"/>
      <c r="R4552" s="44"/>
      <c r="S4552" s="44"/>
      <c r="T4552" s="44"/>
      <c r="U4552" s="44"/>
      <c r="V4552" s="44"/>
      <c r="W4552" s="44"/>
      <c r="X4552" s="44"/>
      <c r="Y4552" s="44"/>
    </row>
    <row r="4553" spans="14:25" ht="15" customHeight="1" x14ac:dyDescent="0.25">
      <c r="N4553" s="44"/>
      <c r="O4553" s="44"/>
      <c r="P4553" s="44"/>
      <c r="Q4553" s="44"/>
      <c r="R4553" s="44"/>
      <c r="S4553" s="44"/>
      <c r="T4553" s="44"/>
      <c r="U4553" s="44"/>
      <c r="V4553" s="44"/>
      <c r="W4553" s="44"/>
      <c r="X4553" s="44"/>
      <c r="Y4553" s="44"/>
    </row>
    <row r="4554" spans="14:25" ht="15" customHeight="1" x14ac:dyDescent="0.25">
      <c r="N4554" s="44"/>
      <c r="O4554" s="44"/>
      <c r="P4554" s="44"/>
      <c r="Q4554" s="44"/>
      <c r="R4554" s="44"/>
      <c r="S4554" s="44"/>
      <c r="T4554" s="44"/>
      <c r="U4554" s="44"/>
      <c r="V4554" s="44"/>
      <c r="W4554" s="44"/>
      <c r="X4554" s="44"/>
      <c r="Y4554" s="44"/>
    </row>
    <row r="4555" spans="14:25" ht="15" customHeight="1" x14ac:dyDescent="0.25">
      <c r="N4555" s="44"/>
      <c r="O4555" s="44"/>
      <c r="P4555" s="44"/>
      <c r="Q4555" s="44"/>
      <c r="R4555" s="44"/>
      <c r="S4555" s="44"/>
      <c r="T4555" s="44"/>
      <c r="U4555" s="44"/>
      <c r="V4555" s="44"/>
      <c r="W4555" s="44"/>
      <c r="X4555" s="44"/>
      <c r="Y4555" s="44"/>
    </row>
    <row r="4556" spans="14:25" ht="15" customHeight="1" x14ac:dyDescent="0.25">
      <c r="N4556" s="44"/>
      <c r="O4556" s="44"/>
      <c r="P4556" s="44"/>
      <c r="Q4556" s="44"/>
      <c r="R4556" s="44"/>
      <c r="S4556" s="44"/>
      <c r="T4556" s="44"/>
      <c r="U4556" s="44"/>
      <c r="V4556" s="44"/>
      <c r="W4556" s="44"/>
      <c r="X4556" s="44"/>
      <c r="Y4556" s="44"/>
    </row>
    <row r="4557" spans="14:25" ht="15" customHeight="1" x14ac:dyDescent="0.25">
      <c r="N4557" s="44"/>
      <c r="O4557" s="44"/>
      <c r="P4557" s="44"/>
      <c r="Q4557" s="44"/>
      <c r="R4557" s="44"/>
      <c r="S4557" s="44"/>
      <c r="T4557" s="44"/>
      <c r="U4557" s="44"/>
      <c r="V4557" s="44"/>
      <c r="W4557" s="44"/>
      <c r="X4557" s="44"/>
      <c r="Y4557" s="44"/>
    </row>
    <row r="4558" spans="14:25" ht="15" customHeight="1" x14ac:dyDescent="0.25">
      <c r="N4558" s="44"/>
      <c r="O4558" s="44"/>
      <c r="P4558" s="44"/>
      <c r="Q4558" s="44"/>
      <c r="R4558" s="44"/>
      <c r="S4558" s="44"/>
      <c r="T4558" s="44"/>
      <c r="U4558" s="44"/>
      <c r="V4558" s="44"/>
      <c r="W4558" s="44"/>
      <c r="X4558" s="44"/>
      <c r="Y4558" s="44"/>
    </row>
    <row r="4559" spans="14:25" ht="15" customHeight="1" x14ac:dyDescent="0.25">
      <c r="N4559" s="44"/>
      <c r="O4559" s="44"/>
      <c r="P4559" s="44"/>
      <c r="Q4559" s="44"/>
      <c r="R4559" s="44"/>
      <c r="S4559" s="44"/>
      <c r="T4559" s="44"/>
      <c r="U4559" s="44"/>
      <c r="V4559" s="44"/>
      <c r="W4559" s="44"/>
      <c r="X4559" s="44"/>
      <c r="Y4559" s="44"/>
    </row>
    <row r="4560" spans="14:25" ht="15" customHeight="1" x14ac:dyDescent="0.25">
      <c r="N4560" s="44"/>
      <c r="O4560" s="44"/>
      <c r="P4560" s="44"/>
      <c r="Q4560" s="44"/>
      <c r="R4560" s="44"/>
      <c r="S4560" s="44"/>
      <c r="T4560" s="44"/>
      <c r="U4560" s="44"/>
      <c r="V4560" s="44"/>
      <c r="W4560" s="44"/>
      <c r="X4560" s="44"/>
      <c r="Y4560" s="44"/>
    </row>
    <row r="4561" spans="14:25" ht="15" customHeight="1" x14ac:dyDescent="0.25">
      <c r="N4561" s="44"/>
      <c r="O4561" s="44"/>
      <c r="P4561" s="44"/>
      <c r="Q4561" s="44"/>
      <c r="R4561" s="44"/>
      <c r="S4561" s="44"/>
      <c r="T4561" s="44"/>
      <c r="U4561" s="44"/>
      <c r="V4561" s="44"/>
      <c r="W4561" s="44"/>
      <c r="X4561" s="44"/>
      <c r="Y4561" s="44"/>
    </row>
    <row r="4562" spans="14:25" ht="15" customHeight="1" x14ac:dyDescent="0.25">
      <c r="N4562" s="44"/>
      <c r="O4562" s="44"/>
      <c r="P4562" s="44"/>
      <c r="Q4562" s="44"/>
      <c r="R4562" s="44"/>
      <c r="S4562" s="44"/>
      <c r="T4562" s="44"/>
      <c r="U4562" s="44"/>
      <c r="V4562" s="44"/>
      <c r="W4562" s="44"/>
      <c r="X4562" s="44"/>
      <c r="Y4562" s="44"/>
    </row>
    <row r="4563" spans="14:25" ht="15" customHeight="1" x14ac:dyDescent="0.25">
      <c r="N4563" s="44"/>
      <c r="O4563" s="44"/>
      <c r="P4563" s="44"/>
      <c r="Q4563" s="44"/>
      <c r="R4563" s="44"/>
      <c r="S4563" s="44"/>
      <c r="T4563" s="44"/>
      <c r="U4563" s="44"/>
      <c r="V4563" s="44"/>
      <c r="W4563" s="44"/>
      <c r="X4563" s="44"/>
      <c r="Y4563" s="44"/>
    </row>
    <row r="4564" spans="14:25" ht="15" customHeight="1" x14ac:dyDescent="0.25">
      <c r="N4564" s="44"/>
      <c r="O4564" s="44"/>
      <c r="P4564" s="44"/>
      <c r="Q4564" s="44"/>
      <c r="R4564" s="44"/>
      <c r="S4564" s="44"/>
      <c r="T4564" s="44"/>
      <c r="U4564" s="44"/>
      <c r="V4564" s="44"/>
      <c r="W4564" s="44"/>
      <c r="X4564" s="44"/>
      <c r="Y4564" s="44"/>
    </row>
    <row r="4565" spans="14:25" ht="15" customHeight="1" x14ac:dyDescent="0.25">
      <c r="N4565" s="44"/>
      <c r="O4565" s="44"/>
      <c r="P4565" s="44"/>
      <c r="Q4565" s="44"/>
      <c r="R4565" s="44"/>
      <c r="S4565" s="44"/>
      <c r="T4565" s="44"/>
      <c r="U4565" s="44"/>
      <c r="V4565" s="44"/>
      <c r="W4565" s="44"/>
      <c r="X4565" s="44"/>
      <c r="Y4565" s="44"/>
    </row>
    <row r="4566" spans="14:25" ht="15" customHeight="1" x14ac:dyDescent="0.25">
      <c r="N4566" s="44"/>
      <c r="O4566" s="44"/>
      <c r="P4566" s="44"/>
      <c r="Q4566" s="44"/>
      <c r="R4566" s="44"/>
      <c r="S4566" s="44"/>
      <c r="T4566" s="44"/>
      <c r="U4566" s="44"/>
      <c r="V4566" s="44"/>
      <c r="W4566" s="44"/>
      <c r="X4566" s="44"/>
      <c r="Y4566" s="44"/>
    </row>
    <row r="4567" spans="14:25" ht="15" customHeight="1" x14ac:dyDescent="0.25">
      <c r="N4567" s="44"/>
      <c r="O4567" s="44"/>
      <c r="P4567" s="44"/>
      <c r="Q4567" s="44"/>
      <c r="R4567" s="44"/>
      <c r="S4567" s="44"/>
      <c r="T4567" s="44"/>
      <c r="U4567" s="44"/>
      <c r="V4567" s="44"/>
      <c r="W4567" s="44"/>
      <c r="X4567" s="44"/>
      <c r="Y4567" s="44"/>
    </row>
    <row r="4568" spans="14:25" ht="15" customHeight="1" x14ac:dyDescent="0.25">
      <c r="N4568" s="44"/>
      <c r="O4568" s="44"/>
      <c r="P4568" s="44"/>
      <c r="Q4568" s="44"/>
      <c r="R4568" s="44"/>
      <c r="S4568" s="44"/>
      <c r="T4568" s="44"/>
      <c r="U4568" s="44"/>
      <c r="V4568" s="44"/>
      <c r="W4568" s="44"/>
      <c r="X4568" s="44"/>
      <c r="Y4568" s="44"/>
    </row>
    <row r="4569" spans="14:25" ht="15" customHeight="1" x14ac:dyDescent="0.25">
      <c r="N4569" s="44"/>
      <c r="O4569" s="44"/>
      <c r="P4569" s="44"/>
      <c r="Q4569" s="44"/>
      <c r="R4569" s="44"/>
      <c r="S4569" s="44"/>
      <c r="T4569" s="44"/>
      <c r="U4569" s="44"/>
      <c r="V4569" s="44"/>
      <c r="W4569" s="44"/>
      <c r="X4569" s="44"/>
      <c r="Y4569" s="44"/>
    </row>
    <row r="4570" spans="14:25" ht="15" customHeight="1" x14ac:dyDescent="0.25">
      <c r="N4570" s="44"/>
      <c r="O4570" s="44"/>
      <c r="P4570" s="44"/>
      <c r="Q4570" s="44"/>
      <c r="R4570" s="44"/>
      <c r="S4570" s="44"/>
      <c r="T4570" s="44"/>
      <c r="U4570" s="44"/>
      <c r="V4570" s="44"/>
      <c r="W4570" s="44"/>
      <c r="X4570" s="44"/>
      <c r="Y4570" s="44"/>
    </row>
    <row r="4571" spans="14:25" ht="15" customHeight="1" x14ac:dyDescent="0.25">
      <c r="N4571" s="44"/>
      <c r="O4571" s="44"/>
      <c r="P4571" s="44"/>
      <c r="Q4571" s="44"/>
      <c r="R4571" s="44"/>
      <c r="S4571" s="44"/>
      <c r="T4571" s="44"/>
      <c r="U4571" s="44"/>
      <c r="V4571" s="44"/>
      <c r="W4571" s="44"/>
      <c r="X4571" s="44"/>
      <c r="Y4571" s="44"/>
    </row>
    <row r="4572" spans="14:25" ht="15" customHeight="1" x14ac:dyDescent="0.25">
      <c r="N4572" s="44"/>
      <c r="O4572" s="44"/>
      <c r="P4572" s="44"/>
      <c r="Q4572" s="44"/>
      <c r="R4572" s="44"/>
      <c r="S4572" s="44"/>
      <c r="T4572" s="44"/>
      <c r="U4572" s="44"/>
      <c r="V4572" s="44"/>
      <c r="W4572" s="44"/>
      <c r="X4572" s="44"/>
      <c r="Y4572" s="44"/>
    </row>
    <row r="4573" spans="14:25" ht="15" customHeight="1" x14ac:dyDescent="0.25">
      <c r="N4573" s="44"/>
      <c r="O4573" s="44"/>
      <c r="P4573" s="44"/>
      <c r="Q4573" s="44"/>
      <c r="R4573" s="44"/>
      <c r="S4573" s="44"/>
      <c r="T4573" s="44"/>
      <c r="U4573" s="44"/>
      <c r="V4573" s="44"/>
      <c r="W4573" s="44"/>
      <c r="X4573" s="44"/>
      <c r="Y4573" s="44"/>
    </row>
    <row r="4574" spans="14:25" ht="15" customHeight="1" x14ac:dyDescent="0.25">
      <c r="N4574" s="44"/>
      <c r="O4574" s="44"/>
      <c r="P4574" s="44"/>
      <c r="Q4574" s="44"/>
      <c r="R4574" s="44"/>
      <c r="S4574" s="44"/>
      <c r="T4574" s="44"/>
      <c r="U4574" s="44"/>
      <c r="V4574" s="44"/>
      <c r="W4574" s="44"/>
      <c r="X4574" s="44"/>
      <c r="Y4574" s="44"/>
    </row>
    <row r="4575" spans="14:25" ht="15" customHeight="1" x14ac:dyDescent="0.25">
      <c r="N4575" s="44"/>
      <c r="O4575" s="44"/>
      <c r="P4575" s="44"/>
      <c r="Q4575" s="44"/>
      <c r="R4575" s="44"/>
      <c r="S4575" s="44"/>
      <c r="T4575" s="44"/>
      <c r="U4575" s="44"/>
      <c r="V4575" s="44"/>
      <c r="W4575" s="44"/>
      <c r="X4575" s="44"/>
      <c r="Y4575" s="44"/>
    </row>
    <row r="4576" spans="14:25" ht="15" customHeight="1" x14ac:dyDescent="0.25">
      <c r="N4576" s="44"/>
      <c r="O4576" s="44"/>
      <c r="P4576" s="44"/>
      <c r="Q4576" s="44"/>
      <c r="R4576" s="44"/>
      <c r="S4576" s="44"/>
      <c r="T4576" s="44"/>
      <c r="U4576" s="44"/>
      <c r="V4576" s="44"/>
      <c r="W4576" s="44"/>
      <c r="X4576" s="44"/>
      <c r="Y4576" s="44"/>
    </row>
    <row r="4577" spans="14:25" ht="15" customHeight="1" x14ac:dyDescent="0.25">
      <c r="N4577" s="44"/>
      <c r="O4577" s="44"/>
      <c r="P4577" s="44"/>
      <c r="Q4577" s="44"/>
      <c r="R4577" s="44"/>
      <c r="S4577" s="44"/>
      <c r="T4577" s="44"/>
      <c r="U4577" s="44"/>
      <c r="V4577" s="44"/>
      <c r="W4577" s="44"/>
      <c r="X4577" s="44"/>
      <c r="Y4577" s="44"/>
    </row>
    <row r="4578" spans="14:25" ht="15" customHeight="1" x14ac:dyDescent="0.25">
      <c r="N4578" s="44"/>
      <c r="O4578" s="44"/>
      <c r="P4578" s="44"/>
      <c r="Q4578" s="44"/>
      <c r="R4578" s="44"/>
      <c r="S4578" s="44"/>
      <c r="T4578" s="44"/>
      <c r="U4578" s="44"/>
      <c r="V4578" s="44"/>
      <c r="W4578" s="44"/>
      <c r="X4578" s="44"/>
      <c r="Y4578" s="44"/>
    </row>
    <row r="4579" spans="14:25" ht="15" customHeight="1" x14ac:dyDescent="0.25">
      <c r="N4579" s="44"/>
      <c r="O4579" s="44"/>
      <c r="P4579" s="44"/>
      <c r="Q4579" s="44"/>
      <c r="R4579" s="44"/>
      <c r="S4579" s="44"/>
      <c r="T4579" s="44"/>
      <c r="U4579" s="44"/>
      <c r="V4579" s="44"/>
      <c r="W4579" s="44"/>
      <c r="X4579" s="44"/>
      <c r="Y4579" s="44"/>
    </row>
    <row r="4580" spans="14:25" ht="15" customHeight="1" x14ac:dyDescent="0.25">
      <c r="N4580" s="44"/>
      <c r="O4580" s="44"/>
      <c r="P4580" s="44"/>
      <c r="Q4580" s="44"/>
      <c r="R4580" s="44"/>
      <c r="S4580" s="44"/>
      <c r="T4580" s="44"/>
      <c r="U4580" s="44"/>
      <c r="V4580" s="44"/>
      <c r="W4580" s="44"/>
      <c r="X4580" s="44"/>
      <c r="Y4580" s="44"/>
    </row>
    <row r="4581" spans="14:25" ht="15" customHeight="1" x14ac:dyDescent="0.25">
      <c r="N4581" s="44"/>
      <c r="O4581" s="44"/>
      <c r="P4581" s="44"/>
      <c r="Q4581" s="44"/>
      <c r="R4581" s="44"/>
      <c r="S4581" s="44"/>
      <c r="T4581" s="44"/>
      <c r="U4581" s="44"/>
      <c r="V4581" s="44"/>
      <c r="W4581" s="44"/>
      <c r="X4581" s="44"/>
      <c r="Y4581" s="44"/>
    </row>
    <row r="4582" spans="14:25" ht="15" customHeight="1" x14ac:dyDescent="0.25">
      <c r="N4582" s="44"/>
      <c r="O4582" s="44"/>
      <c r="P4582" s="44"/>
      <c r="Q4582" s="44"/>
      <c r="R4582" s="44"/>
      <c r="S4582" s="44"/>
      <c r="T4582" s="44"/>
      <c r="U4582" s="44"/>
      <c r="V4582" s="44"/>
      <c r="W4582" s="44"/>
      <c r="X4582" s="44"/>
      <c r="Y4582" s="44"/>
    </row>
    <row r="4583" spans="14:25" ht="15" customHeight="1" x14ac:dyDescent="0.25">
      <c r="N4583" s="44"/>
      <c r="O4583" s="44"/>
      <c r="P4583" s="44"/>
      <c r="Q4583" s="44"/>
      <c r="R4583" s="44"/>
      <c r="S4583" s="44"/>
      <c r="T4583" s="44"/>
      <c r="U4583" s="44"/>
      <c r="V4583" s="44"/>
      <c r="W4583" s="44"/>
      <c r="X4583" s="44"/>
      <c r="Y4583" s="44"/>
    </row>
    <row r="4584" spans="14:25" ht="15" customHeight="1" x14ac:dyDescent="0.25">
      <c r="N4584" s="44"/>
      <c r="O4584" s="44"/>
      <c r="P4584" s="44"/>
      <c r="Q4584" s="44"/>
      <c r="R4584" s="44"/>
      <c r="S4584" s="44"/>
      <c r="T4584" s="44"/>
      <c r="U4584" s="44"/>
      <c r="V4584" s="44"/>
      <c r="W4584" s="44"/>
      <c r="X4584" s="44"/>
      <c r="Y4584" s="44"/>
    </row>
    <row r="4585" spans="14:25" ht="15" customHeight="1" x14ac:dyDescent="0.25">
      <c r="N4585" s="44"/>
      <c r="O4585" s="44"/>
      <c r="P4585" s="44"/>
      <c r="Q4585" s="44"/>
      <c r="R4585" s="44"/>
      <c r="S4585" s="44"/>
      <c r="T4585" s="44"/>
      <c r="U4585" s="44"/>
      <c r="V4585" s="44"/>
      <c r="W4585" s="44"/>
      <c r="X4585" s="44"/>
      <c r="Y4585" s="44"/>
    </row>
    <row r="4586" spans="14:25" ht="15" customHeight="1" x14ac:dyDescent="0.25">
      <c r="N4586" s="44"/>
      <c r="O4586" s="44"/>
      <c r="P4586" s="44"/>
      <c r="Q4586" s="44"/>
      <c r="R4586" s="44"/>
      <c r="S4586" s="44"/>
      <c r="T4586" s="44"/>
      <c r="U4586" s="44"/>
      <c r="V4586" s="44"/>
      <c r="W4586" s="44"/>
      <c r="X4586" s="44"/>
      <c r="Y4586" s="44"/>
    </row>
    <row r="4587" spans="14:25" ht="15" customHeight="1" x14ac:dyDescent="0.25">
      <c r="N4587" s="44"/>
      <c r="O4587" s="44"/>
      <c r="P4587" s="44"/>
      <c r="Q4587" s="44"/>
      <c r="R4587" s="44"/>
      <c r="S4587" s="44"/>
      <c r="T4587" s="44"/>
      <c r="U4587" s="44"/>
      <c r="V4587" s="44"/>
      <c r="W4587" s="44"/>
      <c r="X4587" s="44"/>
      <c r="Y4587" s="44"/>
    </row>
    <row r="4588" spans="14:25" ht="15" customHeight="1" x14ac:dyDescent="0.25">
      <c r="N4588" s="44"/>
      <c r="O4588" s="44"/>
      <c r="P4588" s="44"/>
      <c r="Q4588" s="44"/>
      <c r="R4588" s="44"/>
      <c r="S4588" s="44"/>
      <c r="T4588" s="44"/>
      <c r="U4588" s="44"/>
      <c r="V4588" s="44"/>
      <c r="W4588" s="44"/>
      <c r="X4588" s="44"/>
      <c r="Y4588" s="44"/>
    </row>
    <row r="4589" spans="14:25" ht="15" customHeight="1" x14ac:dyDescent="0.25">
      <c r="N4589" s="44"/>
      <c r="O4589" s="44"/>
      <c r="P4589" s="44"/>
      <c r="Q4589" s="44"/>
      <c r="R4589" s="44"/>
      <c r="S4589" s="44"/>
      <c r="T4589" s="44"/>
      <c r="U4589" s="44"/>
      <c r="V4589" s="44"/>
      <c r="W4589" s="44"/>
      <c r="X4589" s="44"/>
      <c r="Y4589" s="44"/>
    </row>
    <row r="4590" spans="14:25" ht="15" customHeight="1" x14ac:dyDescent="0.25">
      <c r="N4590" s="44"/>
      <c r="O4590" s="44"/>
      <c r="P4590" s="44"/>
      <c r="Q4590" s="44"/>
      <c r="R4590" s="44"/>
      <c r="S4590" s="44"/>
      <c r="T4590" s="44"/>
      <c r="U4590" s="44"/>
      <c r="V4590" s="44"/>
      <c r="W4590" s="44"/>
      <c r="X4590" s="44"/>
      <c r="Y4590" s="44"/>
    </row>
    <row r="4591" spans="14:25" ht="15" customHeight="1" x14ac:dyDescent="0.25">
      <c r="N4591" s="44"/>
      <c r="O4591" s="44"/>
      <c r="P4591" s="44"/>
      <c r="Q4591" s="44"/>
      <c r="R4591" s="44"/>
      <c r="S4591" s="44"/>
      <c r="T4591" s="44"/>
      <c r="U4591" s="44"/>
      <c r="V4591" s="44"/>
      <c r="W4591" s="44"/>
      <c r="X4591" s="44"/>
      <c r="Y4591" s="44"/>
    </row>
    <row r="4592" spans="14:25" ht="15" customHeight="1" x14ac:dyDescent="0.25">
      <c r="N4592" s="44"/>
      <c r="O4592" s="44"/>
      <c r="P4592" s="44"/>
      <c r="Q4592" s="44"/>
      <c r="R4592" s="44"/>
      <c r="S4592" s="44"/>
      <c r="T4592" s="44"/>
      <c r="U4592" s="44"/>
      <c r="V4592" s="44"/>
      <c r="W4592" s="44"/>
      <c r="X4592" s="44"/>
      <c r="Y4592" s="44"/>
    </row>
    <row r="4593" spans="14:25" ht="15" customHeight="1" x14ac:dyDescent="0.25">
      <c r="N4593" s="44"/>
      <c r="O4593" s="44"/>
      <c r="P4593" s="44"/>
      <c r="Q4593" s="44"/>
      <c r="R4593" s="44"/>
      <c r="S4593" s="44"/>
      <c r="T4593" s="44"/>
      <c r="U4593" s="44"/>
      <c r="V4593" s="44"/>
      <c r="W4593" s="44"/>
      <c r="X4593" s="44"/>
      <c r="Y4593" s="44"/>
    </row>
    <row r="4594" spans="14:25" ht="15" customHeight="1" x14ac:dyDescent="0.25">
      <c r="N4594" s="44"/>
      <c r="O4594" s="44"/>
      <c r="P4594" s="44"/>
      <c r="Q4594" s="44"/>
      <c r="R4594" s="44"/>
      <c r="S4594" s="44"/>
      <c r="T4594" s="44"/>
      <c r="U4594" s="44"/>
      <c r="V4594" s="44"/>
      <c r="W4594" s="44"/>
      <c r="X4594" s="44"/>
      <c r="Y4594" s="44"/>
    </row>
    <row r="4595" spans="14:25" ht="15" customHeight="1" x14ac:dyDescent="0.25">
      <c r="N4595" s="44"/>
      <c r="O4595" s="44"/>
      <c r="P4595" s="44"/>
      <c r="Q4595" s="44"/>
      <c r="R4595" s="44"/>
      <c r="S4595" s="44"/>
      <c r="T4595" s="44"/>
      <c r="U4595" s="44"/>
      <c r="V4595" s="44"/>
      <c r="W4595" s="44"/>
      <c r="X4595" s="44"/>
      <c r="Y4595" s="44"/>
    </row>
    <row r="4596" spans="14:25" ht="15" customHeight="1" x14ac:dyDescent="0.25">
      <c r="N4596" s="44"/>
      <c r="O4596" s="44"/>
      <c r="P4596" s="44"/>
      <c r="Q4596" s="44"/>
      <c r="R4596" s="44"/>
      <c r="S4596" s="44"/>
      <c r="T4596" s="44"/>
      <c r="U4596" s="44"/>
      <c r="V4596" s="44"/>
      <c r="W4596" s="44"/>
      <c r="X4596" s="44"/>
      <c r="Y4596" s="44"/>
    </row>
    <row r="4597" spans="14:25" ht="15" customHeight="1" x14ac:dyDescent="0.25">
      <c r="N4597" s="44"/>
      <c r="O4597" s="44"/>
      <c r="P4597" s="44"/>
      <c r="Q4597" s="44"/>
      <c r="R4597" s="44"/>
      <c r="S4597" s="44"/>
      <c r="T4597" s="44"/>
      <c r="U4597" s="44"/>
      <c r="V4597" s="44"/>
      <c r="W4597" s="44"/>
      <c r="X4597" s="44"/>
      <c r="Y4597" s="44"/>
    </row>
    <row r="4598" spans="14:25" ht="15" customHeight="1" x14ac:dyDescent="0.25">
      <c r="N4598" s="44"/>
      <c r="O4598" s="44"/>
      <c r="P4598" s="44"/>
      <c r="Q4598" s="44"/>
      <c r="R4598" s="44"/>
      <c r="S4598" s="44"/>
      <c r="T4598" s="44"/>
      <c r="U4598" s="44"/>
      <c r="V4598" s="44"/>
      <c r="W4598" s="44"/>
      <c r="X4598" s="44"/>
      <c r="Y4598" s="44"/>
    </row>
    <row r="4599" spans="14:25" ht="15" customHeight="1" x14ac:dyDescent="0.25">
      <c r="N4599" s="44"/>
      <c r="O4599" s="44"/>
      <c r="P4599" s="44"/>
      <c r="Q4599" s="44"/>
      <c r="R4599" s="44"/>
      <c r="S4599" s="44"/>
      <c r="T4599" s="44"/>
      <c r="U4599" s="44"/>
      <c r="V4599" s="44"/>
      <c r="W4599" s="44"/>
      <c r="X4599" s="44"/>
      <c r="Y4599" s="44"/>
    </row>
    <row r="4600" spans="14:25" ht="15" customHeight="1" x14ac:dyDescent="0.25">
      <c r="N4600" s="44"/>
      <c r="O4600" s="44"/>
      <c r="P4600" s="44"/>
      <c r="Q4600" s="44"/>
      <c r="R4600" s="44"/>
      <c r="S4600" s="44"/>
      <c r="T4600" s="44"/>
      <c r="U4600" s="44"/>
      <c r="V4600" s="44"/>
      <c r="W4600" s="44"/>
      <c r="X4600" s="44"/>
      <c r="Y4600" s="44"/>
    </row>
    <row r="4601" spans="14:25" ht="15" customHeight="1" x14ac:dyDescent="0.25">
      <c r="N4601" s="44"/>
      <c r="O4601" s="44"/>
      <c r="P4601" s="44"/>
      <c r="Q4601" s="44"/>
      <c r="R4601" s="44"/>
      <c r="S4601" s="44"/>
      <c r="T4601" s="44"/>
      <c r="U4601" s="44"/>
      <c r="V4601" s="44"/>
      <c r="W4601" s="44"/>
      <c r="X4601" s="44"/>
      <c r="Y4601" s="44"/>
    </row>
    <row r="4602" spans="14:25" ht="15" customHeight="1" x14ac:dyDescent="0.25">
      <c r="N4602" s="44"/>
      <c r="O4602" s="44"/>
      <c r="P4602" s="44"/>
      <c r="Q4602" s="44"/>
      <c r="R4602" s="44"/>
      <c r="S4602" s="44"/>
      <c r="T4602" s="44"/>
      <c r="U4602" s="44"/>
      <c r="V4602" s="44"/>
      <c r="W4602" s="44"/>
      <c r="X4602" s="44"/>
      <c r="Y4602" s="44"/>
    </row>
    <row r="4603" spans="14:25" ht="15" customHeight="1" x14ac:dyDescent="0.25">
      <c r="N4603" s="44"/>
      <c r="O4603" s="44"/>
      <c r="P4603" s="44"/>
      <c r="Q4603" s="44"/>
      <c r="R4603" s="44"/>
      <c r="S4603" s="44"/>
      <c r="T4603" s="44"/>
      <c r="U4603" s="44"/>
      <c r="V4603" s="44"/>
      <c r="W4603" s="44"/>
      <c r="X4603" s="44"/>
      <c r="Y4603" s="44"/>
    </row>
    <row r="4604" spans="14:25" ht="15" customHeight="1" x14ac:dyDescent="0.25">
      <c r="N4604" s="44"/>
      <c r="O4604" s="44"/>
      <c r="P4604" s="44"/>
      <c r="Q4604" s="44"/>
      <c r="R4604" s="44"/>
      <c r="S4604" s="44"/>
      <c r="T4604" s="44"/>
      <c r="U4604" s="44"/>
      <c r="V4604" s="44"/>
      <c r="W4604" s="44"/>
      <c r="X4604" s="44"/>
      <c r="Y4604" s="44"/>
    </row>
    <row r="4605" spans="14:25" ht="15" customHeight="1" x14ac:dyDescent="0.25">
      <c r="N4605" s="44"/>
      <c r="O4605" s="44"/>
      <c r="P4605" s="44"/>
      <c r="Q4605" s="44"/>
      <c r="R4605" s="44"/>
      <c r="S4605" s="44"/>
      <c r="T4605" s="44"/>
      <c r="U4605" s="44"/>
      <c r="V4605" s="44"/>
      <c r="W4605" s="44"/>
      <c r="X4605" s="44"/>
      <c r="Y4605" s="44"/>
    </row>
    <row r="4606" spans="14:25" ht="15" customHeight="1" x14ac:dyDescent="0.25">
      <c r="N4606" s="44"/>
      <c r="O4606" s="44"/>
      <c r="P4606" s="44"/>
      <c r="Q4606" s="44"/>
      <c r="R4606" s="44"/>
      <c r="S4606" s="44"/>
      <c r="T4606" s="44"/>
      <c r="U4606" s="44"/>
      <c r="V4606" s="44"/>
      <c r="W4606" s="44"/>
      <c r="X4606" s="44"/>
      <c r="Y4606" s="44"/>
    </row>
    <row r="4607" spans="14:25" ht="15" customHeight="1" x14ac:dyDescent="0.25">
      <c r="N4607" s="44"/>
      <c r="O4607" s="44"/>
      <c r="P4607" s="44"/>
      <c r="Q4607" s="44"/>
      <c r="R4607" s="44"/>
      <c r="S4607" s="44"/>
      <c r="T4607" s="44"/>
      <c r="U4607" s="44"/>
      <c r="V4607" s="44"/>
      <c r="W4607" s="44"/>
      <c r="X4607" s="44"/>
      <c r="Y4607" s="44"/>
    </row>
    <row r="4608" spans="14:25" ht="15" customHeight="1" x14ac:dyDescent="0.25">
      <c r="N4608" s="44"/>
      <c r="O4608" s="44"/>
      <c r="P4608" s="44"/>
      <c r="Q4608" s="44"/>
      <c r="R4608" s="44"/>
      <c r="S4608" s="44"/>
      <c r="T4608" s="44"/>
      <c r="U4608" s="44"/>
      <c r="V4608" s="44"/>
      <c r="W4608" s="44"/>
      <c r="X4608" s="44"/>
      <c r="Y4608" s="44"/>
    </row>
    <row r="4609" spans="14:25" ht="15" customHeight="1" x14ac:dyDescent="0.25">
      <c r="N4609" s="44"/>
      <c r="O4609" s="44"/>
      <c r="P4609" s="44"/>
      <c r="Q4609" s="44"/>
      <c r="R4609" s="44"/>
      <c r="S4609" s="44"/>
      <c r="T4609" s="44"/>
      <c r="U4609" s="44"/>
      <c r="V4609" s="44"/>
      <c r="W4609" s="44"/>
      <c r="X4609" s="44"/>
      <c r="Y4609" s="44"/>
    </row>
    <row r="4610" spans="14:25" ht="15" customHeight="1" x14ac:dyDescent="0.25">
      <c r="N4610" s="44"/>
      <c r="O4610" s="44"/>
      <c r="P4610" s="44"/>
      <c r="Q4610" s="44"/>
      <c r="R4610" s="44"/>
      <c r="S4610" s="44"/>
      <c r="T4610" s="44"/>
      <c r="U4610" s="44"/>
      <c r="V4610" s="44"/>
      <c r="W4610" s="44"/>
      <c r="X4610" s="44"/>
      <c r="Y4610" s="44"/>
    </row>
    <row r="4611" spans="14:25" ht="15" customHeight="1" x14ac:dyDescent="0.25">
      <c r="N4611" s="44"/>
      <c r="O4611" s="44"/>
      <c r="P4611" s="44"/>
      <c r="Q4611" s="44"/>
      <c r="R4611" s="44"/>
      <c r="S4611" s="44"/>
      <c r="T4611" s="44"/>
      <c r="U4611" s="44"/>
      <c r="V4611" s="44"/>
      <c r="W4611" s="44"/>
      <c r="X4611" s="44"/>
      <c r="Y4611" s="44"/>
    </row>
    <row r="4612" spans="14:25" ht="15" customHeight="1" x14ac:dyDescent="0.25">
      <c r="N4612" s="44"/>
      <c r="O4612" s="44"/>
      <c r="P4612" s="44"/>
      <c r="Q4612" s="44"/>
      <c r="R4612" s="44"/>
      <c r="S4612" s="44"/>
      <c r="T4612" s="44"/>
      <c r="U4612" s="44"/>
      <c r="V4612" s="44"/>
      <c r="W4612" s="44"/>
      <c r="X4612" s="44"/>
      <c r="Y4612" s="44"/>
    </row>
    <row r="4613" spans="14:25" ht="15" customHeight="1" x14ac:dyDescent="0.25">
      <c r="N4613" s="44"/>
      <c r="O4613" s="44"/>
      <c r="P4613" s="44"/>
      <c r="Q4613" s="44"/>
      <c r="R4613" s="44"/>
      <c r="S4613" s="44"/>
      <c r="T4613" s="44"/>
      <c r="U4613" s="44"/>
      <c r="V4613" s="44"/>
      <c r="W4613" s="44"/>
      <c r="X4613" s="44"/>
      <c r="Y4613" s="44"/>
    </row>
    <row r="4614" spans="14:25" ht="15" customHeight="1" x14ac:dyDescent="0.25">
      <c r="N4614" s="44"/>
      <c r="O4614" s="44"/>
      <c r="P4614" s="44"/>
      <c r="Q4614" s="44"/>
      <c r="R4614" s="44"/>
      <c r="S4614" s="44"/>
      <c r="T4614" s="44"/>
      <c r="U4614" s="44"/>
      <c r="V4614" s="44"/>
      <c r="W4614" s="44"/>
      <c r="X4614" s="44"/>
      <c r="Y4614" s="44"/>
    </row>
    <row r="4615" spans="14:25" ht="15" customHeight="1" x14ac:dyDescent="0.25">
      <c r="N4615" s="44"/>
      <c r="O4615" s="44"/>
      <c r="P4615" s="44"/>
      <c r="Q4615" s="44"/>
      <c r="R4615" s="44"/>
      <c r="S4615" s="44"/>
      <c r="T4615" s="44"/>
      <c r="U4615" s="44"/>
      <c r="V4615" s="44"/>
      <c r="W4615" s="44"/>
      <c r="X4615" s="44"/>
      <c r="Y4615" s="44"/>
    </row>
    <row r="4616" spans="14:25" ht="15" customHeight="1" x14ac:dyDescent="0.25">
      <c r="N4616" s="44"/>
      <c r="O4616" s="44"/>
      <c r="P4616" s="44"/>
      <c r="Q4616" s="44"/>
      <c r="R4616" s="44"/>
      <c r="S4616" s="44"/>
      <c r="T4616" s="44"/>
      <c r="U4616" s="44"/>
      <c r="V4616" s="44"/>
      <c r="W4616" s="44"/>
      <c r="X4616" s="44"/>
      <c r="Y4616" s="44"/>
    </row>
    <row r="4617" spans="14:25" ht="15" customHeight="1" x14ac:dyDescent="0.25">
      <c r="N4617" s="44"/>
      <c r="O4617" s="44"/>
      <c r="P4617" s="44"/>
      <c r="Q4617" s="44"/>
      <c r="R4617" s="44"/>
      <c r="S4617" s="44"/>
      <c r="T4617" s="44"/>
      <c r="U4617" s="44"/>
      <c r="V4617" s="44"/>
      <c r="W4617" s="44"/>
      <c r="X4617" s="44"/>
      <c r="Y4617" s="44"/>
    </row>
    <row r="4618" spans="14:25" ht="15" customHeight="1" x14ac:dyDescent="0.25">
      <c r="N4618" s="44"/>
      <c r="O4618" s="44"/>
      <c r="P4618" s="44"/>
      <c r="Q4618" s="44"/>
      <c r="R4618" s="44"/>
      <c r="S4618" s="44"/>
      <c r="T4618" s="44"/>
      <c r="U4618" s="44"/>
      <c r="V4618" s="44"/>
      <c r="W4618" s="44"/>
      <c r="X4618" s="44"/>
      <c r="Y4618" s="44"/>
    </row>
    <row r="4619" spans="14:25" ht="15" customHeight="1" x14ac:dyDescent="0.25">
      <c r="N4619" s="44"/>
      <c r="O4619" s="44"/>
      <c r="P4619" s="44"/>
      <c r="Q4619" s="44"/>
      <c r="R4619" s="44"/>
      <c r="S4619" s="44"/>
      <c r="T4619" s="44"/>
      <c r="U4619" s="44"/>
      <c r="V4619" s="44"/>
      <c r="W4619" s="44"/>
      <c r="X4619" s="44"/>
      <c r="Y4619" s="44"/>
    </row>
    <row r="4620" spans="14:25" ht="15" customHeight="1" x14ac:dyDescent="0.25">
      <c r="N4620" s="44"/>
      <c r="O4620" s="44"/>
      <c r="P4620" s="44"/>
      <c r="Q4620" s="44"/>
      <c r="R4620" s="44"/>
      <c r="S4620" s="44"/>
      <c r="T4620" s="44"/>
      <c r="U4620" s="44"/>
      <c r="V4620" s="44"/>
      <c r="W4620" s="44"/>
      <c r="X4620" s="44"/>
      <c r="Y4620" s="44"/>
    </row>
    <row r="4621" spans="14:25" ht="15" customHeight="1" x14ac:dyDescent="0.25">
      <c r="N4621" s="44"/>
      <c r="O4621" s="44"/>
      <c r="P4621" s="44"/>
      <c r="Q4621" s="44"/>
      <c r="R4621" s="44"/>
      <c r="S4621" s="44"/>
      <c r="T4621" s="44"/>
      <c r="U4621" s="44"/>
      <c r="V4621" s="44"/>
      <c r="W4621" s="44"/>
      <c r="X4621" s="44"/>
      <c r="Y4621" s="44"/>
    </row>
    <row r="4622" spans="14:25" ht="15" customHeight="1" x14ac:dyDescent="0.25">
      <c r="N4622" s="44"/>
      <c r="O4622" s="44"/>
      <c r="P4622" s="44"/>
      <c r="Q4622" s="44"/>
      <c r="R4622" s="44"/>
      <c r="S4622" s="44"/>
      <c r="T4622" s="44"/>
      <c r="U4622" s="44"/>
      <c r="V4622" s="44"/>
      <c r="W4622" s="44"/>
      <c r="X4622" s="44"/>
      <c r="Y4622" s="44"/>
    </row>
    <row r="4623" spans="14:25" ht="15" customHeight="1" x14ac:dyDescent="0.25">
      <c r="N4623" s="44"/>
      <c r="O4623" s="44"/>
      <c r="P4623" s="44"/>
      <c r="Q4623" s="44"/>
      <c r="R4623" s="44"/>
      <c r="S4623" s="44"/>
      <c r="T4623" s="44"/>
      <c r="U4623" s="44"/>
      <c r="V4623" s="44"/>
      <c r="W4623" s="44"/>
      <c r="X4623" s="44"/>
      <c r="Y4623" s="44"/>
    </row>
    <row r="4624" spans="14:25" ht="15" customHeight="1" x14ac:dyDescent="0.25">
      <c r="N4624" s="44"/>
      <c r="O4624" s="44"/>
      <c r="P4624" s="44"/>
      <c r="Q4624" s="44"/>
      <c r="R4624" s="44"/>
      <c r="S4624" s="44"/>
      <c r="T4624" s="44"/>
      <c r="U4624" s="44"/>
      <c r="V4624" s="44"/>
      <c r="W4624" s="44"/>
      <c r="X4624" s="44"/>
      <c r="Y4624" s="44"/>
    </row>
    <row r="4625" spans="14:25" ht="15" customHeight="1" x14ac:dyDescent="0.25">
      <c r="N4625" s="44"/>
      <c r="O4625" s="44"/>
      <c r="P4625" s="44"/>
      <c r="Q4625" s="44"/>
      <c r="R4625" s="44"/>
      <c r="S4625" s="44"/>
      <c r="T4625" s="44"/>
      <c r="U4625" s="44"/>
      <c r="V4625" s="44"/>
      <c r="W4625" s="44"/>
      <c r="X4625" s="44"/>
      <c r="Y4625" s="44"/>
    </row>
    <row r="4626" spans="14:25" ht="15" customHeight="1" x14ac:dyDescent="0.25">
      <c r="N4626" s="44"/>
      <c r="O4626" s="44"/>
      <c r="P4626" s="44"/>
      <c r="Q4626" s="44"/>
      <c r="R4626" s="44"/>
      <c r="S4626" s="44"/>
      <c r="T4626" s="44"/>
      <c r="U4626" s="44"/>
      <c r="V4626" s="44"/>
      <c r="W4626" s="44"/>
      <c r="X4626" s="44"/>
      <c r="Y4626" s="44"/>
    </row>
    <row r="4627" spans="14:25" ht="15" customHeight="1" x14ac:dyDescent="0.25">
      <c r="N4627" s="44"/>
      <c r="O4627" s="44"/>
      <c r="P4627" s="44"/>
      <c r="Q4627" s="44"/>
      <c r="R4627" s="44"/>
      <c r="S4627" s="44"/>
      <c r="T4627" s="44"/>
      <c r="U4627" s="44"/>
      <c r="V4627" s="44"/>
      <c r="W4627" s="44"/>
      <c r="X4627" s="44"/>
      <c r="Y4627" s="44"/>
    </row>
    <row r="4628" spans="14:25" ht="15" customHeight="1" x14ac:dyDescent="0.25">
      <c r="N4628" s="44"/>
      <c r="O4628" s="44"/>
      <c r="P4628" s="44"/>
      <c r="Q4628" s="44"/>
      <c r="R4628" s="44"/>
      <c r="S4628" s="44"/>
      <c r="T4628" s="44"/>
      <c r="U4628" s="44"/>
      <c r="V4628" s="44"/>
      <c r="W4628" s="44"/>
      <c r="X4628" s="44"/>
      <c r="Y4628" s="44"/>
    </row>
    <row r="4629" spans="14:25" ht="15" customHeight="1" x14ac:dyDescent="0.25">
      <c r="N4629" s="44"/>
      <c r="O4629" s="44"/>
      <c r="P4629" s="44"/>
      <c r="Q4629" s="44"/>
      <c r="R4629" s="44"/>
      <c r="S4629" s="44"/>
      <c r="T4629" s="44"/>
      <c r="U4629" s="44"/>
      <c r="V4629" s="44"/>
      <c r="W4629" s="44"/>
      <c r="X4629" s="44"/>
      <c r="Y4629" s="44"/>
    </row>
    <row r="4630" spans="14:25" ht="15" customHeight="1" x14ac:dyDescent="0.25">
      <c r="N4630" s="44"/>
      <c r="O4630" s="44"/>
      <c r="P4630" s="44"/>
      <c r="Q4630" s="44"/>
      <c r="R4630" s="44"/>
      <c r="S4630" s="44"/>
      <c r="T4630" s="44"/>
      <c r="U4630" s="44"/>
      <c r="V4630" s="44"/>
      <c r="W4630" s="44"/>
      <c r="X4630" s="44"/>
      <c r="Y4630" s="44"/>
    </row>
    <row r="4631" spans="14:25" ht="15" customHeight="1" x14ac:dyDescent="0.25">
      <c r="N4631" s="44"/>
      <c r="O4631" s="44"/>
      <c r="P4631" s="44"/>
      <c r="Q4631" s="44"/>
      <c r="R4631" s="44"/>
      <c r="S4631" s="44"/>
      <c r="T4631" s="44"/>
      <c r="U4631" s="44"/>
      <c r="V4631" s="44"/>
      <c r="W4631" s="44"/>
      <c r="X4631" s="44"/>
      <c r="Y4631" s="44"/>
    </row>
    <row r="4632" spans="14:25" ht="15" customHeight="1" x14ac:dyDescent="0.25">
      <c r="N4632" s="44"/>
      <c r="O4632" s="44"/>
      <c r="P4632" s="44"/>
      <c r="Q4632" s="44"/>
      <c r="R4632" s="44"/>
      <c r="S4632" s="44"/>
      <c r="T4632" s="44"/>
      <c r="U4632" s="44"/>
      <c r="V4632" s="44"/>
      <c r="W4632" s="44"/>
      <c r="X4632" s="44"/>
      <c r="Y4632" s="44"/>
    </row>
    <row r="4633" spans="14:25" ht="15" customHeight="1" x14ac:dyDescent="0.25">
      <c r="N4633" s="44"/>
      <c r="O4633" s="44"/>
      <c r="P4633" s="44"/>
      <c r="Q4633" s="44"/>
      <c r="R4633" s="44"/>
      <c r="S4633" s="44"/>
      <c r="T4633" s="44"/>
      <c r="U4633" s="44"/>
      <c r="V4633" s="44"/>
      <c r="W4633" s="44"/>
      <c r="X4633" s="44"/>
      <c r="Y4633" s="44"/>
    </row>
    <row r="4634" spans="14:25" ht="15" customHeight="1" x14ac:dyDescent="0.25">
      <c r="N4634" s="44"/>
      <c r="O4634" s="44"/>
      <c r="P4634" s="44"/>
      <c r="Q4634" s="44"/>
      <c r="R4634" s="44"/>
      <c r="S4634" s="44"/>
      <c r="T4634" s="44"/>
      <c r="U4634" s="44"/>
      <c r="V4634" s="44"/>
      <c r="W4634" s="44"/>
      <c r="X4634" s="44"/>
      <c r="Y4634" s="44"/>
    </row>
    <row r="4635" spans="14:25" ht="15" customHeight="1" x14ac:dyDescent="0.25">
      <c r="N4635" s="44"/>
      <c r="O4635" s="44"/>
      <c r="P4635" s="44"/>
      <c r="Q4635" s="44"/>
      <c r="R4635" s="44"/>
      <c r="S4635" s="44"/>
      <c r="T4635" s="44"/>
      <c r="U4635" s="44"/>
      <c r="V4635" s="44"/>
      <c r="W4635" s="44"/>
      <c r="X4635" s="44"/>
      <c r="Y4635" s="44"/>
    </row>
    <row r="4636" spans="14:25" ht="15" customHeight="1" x14ac:dyDescent="0.25">
      <c r="N4636" s="44"/>
      <c r="O4636" s="44"/>
      <c r="P4636" s="44"/>
      <c r="Q4636" s="44"/>
      <c r="R4636" s="44"/>
      <c r="S4636" s="44"/>
      <c r="T4636" s="44"/>
      <c r="U4636" s="44"/>
      <c r="V4636" s="44"/>
      <c r="W4636" s="44"/>
      <c r="X4636" s="44"/>
      <c r="Y4636" s="44"/>
    </row>
    <row r="4637" spans="14:25" ht="15" customHeight="1" x14ac:dyDescent="0.25">
      <c r="N4637" s="44"/>
      <c r="O4637" s="44"/>
      <c r="P4637" s="44"/>
      <c r="Q4637" s="44"/>
      <c r="R4637" s="44"/>
      <c r="S4637" s="44"/>
      <c r="T4637" s="44"/>
      <c r="U4637" s="44"/>
      <c r="V4637" s="44"/>
      <c r="W4637" s="44"/>
      <c r="X4637" s="44"/>
      <c r="Y4637" s="44"/>
    </row>
    <row r="4638" spans="14:25" ht="15" customHeight="1" x14ac:dyDescent="0.25">
      <c r="N4638" s="44"/>
      <c r="O4638" s="44"/>
      <c r="P4638" s="44"/>
      <c r="Q4638" s="44"/>
      <c r="R4638" s="44"/>
      <c r="S4638" s="44"/>
      <c r="T4638" s="44"/>
      <c r="U4638" s="44"/>
      <c r="V4638" s="44"/>
      <c r="W4638" s="44"/>
      <c r="X4638" s="44"/>
      <c r="Y4638" s="44"/>
    </row>
    <row r="4639" spans="14:25" ht="15" customHeight="1" x14ac:dyDescent="0.25">
      <c r="N4639" s="44"/>
      <c r="O4639" s="44"/>
      <c r="P4639" s="44"/>
      <c r="Q4639" s="44"/>
      <c r="R4639" s="44"/>
      <c r="S4639" s="44"/>
      <c r="T4639" s="44"/>
      <c r="U4639" s="44"/>
      <c r="V4639" s="44"/>
      <c r="W4639" s="44"/>
      <c r="X4639" s="44"/>
      <c r="Y4639" s="44"/>
    </row>
    <row r="4640" spans="14:25" ht="15" customHeight="1" x14ac:dyDescent="0.25">
      <c r="N4640" s="44"/>
      <c r="O4640" s="44"/>
      <c r="P4640" s="44"/>
      <c r="Q4640" s="44"/>
      <c r="R4640" s="44"/>
      <c r="S4640" s="44"/>
      <c r="T4640" s="44"/>
      <c r="U4640" s="44"/>
      <c r="V4640" s="44"/>
      <c r="W4640" s="44"/>
      <c r="X4640" s="44"/>
      <c r="Y4640" s="44"/>
    </row>
    <row r="4641" spans="14:25" ht="15" customHeight="1" x14ac:dyDescent="0.25">
      <c r="N4641" s="44"/>
      <c r="O4641" s="44"/>
      <c r="P4641" s="44"/>
      <c r="Q4641" s="44"/>
      <c r="R4641" s="44"/>
      <c r="S4641" s="44"/>
      <c r="T4641" s="44"/>
      <c r="U4641" s="44"/>
      <c r="V4641" s="44"/>
      <c r="W4641" s="44"/>
      <c r="X4641" s="44"/>
      <c r="Y4641" s="44"/>
    </row>
    <row r="4642" spans="14:25" ht="15" customHeight="1" x14ac:dyDescent="0.25">
      <c r="N4642" s="44"/>
      <c r="O4642" s="44"/>
      <c r="P4642" s="44"/>
      <c r="Q4642" s="44"/>
      <c r="R4642" s="44"/>
      <c r="S4642" s="44"/>
      <c r="T4642" s="44"/>
      <c r="U4642" s="44"/>
      <c r="V4642" s="44"/>
      <c r="W4642" s="44"/>
      <c r="X4642" s="44"/>
      <c r="Y4642" s="44"/>
    </row>
    <row r="4643" spans="14:25" ht="15" customHeight="1" x14ac:dyDescent="0.25">
      <c r="N4643" s="44"/>
      <c r="O4643" s="44"/>
      <c r="P4643" s="44"/>
      <c r="Q4643" s="44"/>
      <c r="R4643" s="44"/>
      <c r="S4643" s="44"/>
      <c r="T4643" s="44"/>
      <c r="U4643" s="44"/>
      <c r="V4643" s="44"/>
      <c r="W4643" s="44"/>
      <c r="X4643" s="44"/>
      <c r="Y4643" s="44"/>
    </row>
    <row r="4644" spans="14:25" ht="15" customHeight="1" x14ac:dyDescent="0.25">
      <c r="N4644" s="44"/>
      <c r="O4644" s="44"/>
      <c r="P4644" s="44"/>
      <c r="Q4644" s="44"/>
      <c r="R4644" s="44"/>
      <c r="S4644" s="44"/>
      <c r="T4644" s="44"/>
      <c r="U4644" s="44"/>
      <c r="V4644" s="44"/>
      <c r="W4644" s="44"/>
      <c r="X4644" s="44"/>
      <c r="Y4644" s="44"/>
    </row>
    <row r="4645" spans="14:25" ht="15" customHeight="1" x14ac:dyDescent="0.25">
      <c r="N4645" s="44"/>
      <c r="O4645" s="44"/>
      <c r="P4645" s="44"/>
      <c r="Q4645" s="44"/>
      <c r="R4645" s="44"/>
      <c r="S4645" s="44"/>
      <c r="T4645" s="44"/>
      <c r="U4645" s="44"/>
      <c r="V4645" s="44"/>
      <c r="W4645" s="44"/>
      <c r="X4645" s="44"/>
      <c r="Y4645" s="44"/>
    </row>
    <row r="4646" spans="14:25" ht="15" customHeight="1" x14ac:dyDescent="0.25">
      <c r="N4646" s="44"/>
      <c r="O4646" s="44"/>
      <c r="P4646" s="44"/>
      <c r="Q4646" s="44"/>
      <c r="R4646" s="44"/>
      <c r="S4646" s="44"/>
      <c r="T4646" s="44"/>
      <c r="U4646" s="44"/>
      <c r="V4646" s="44"/>
      <c r="W4646" s="44"/>
      <c r="X4646" s="44"/>
      <c r="Y4646" s="44"/>
    </row>
    <row r="4647" spans="14:25" ht="15" customHeight="1" x14ac:dyDescent="0.25">
      <c r="N4647" s="44"/>
      <c r="O4647" s="44"/>
      <c r="P4647" s="44"/>
      <c r="Q4647" s="44"/>
      <c r="R4647" s="44"/>
      <c r="S4647" s="44"/>
      <c r="T4647" s="44"/>
      <c r="U4647" s="44"/>
      <c r="V4647" s="44"/>
      <c r="W4647" s="44"/>
      <c r="X4647" s="44"/>
      <c r="Y4647" s="44"/>
    </row>
    <row r="4648" spans="14:25" ht="15" customHeight="1" x14ac:dyDescent="0.25">
      <c r="N4648" s="44"/>
      <c r="O4648" s="44"/>
      <c r="P4648" s="44"/>
      <c r="Q4648" s="44"/>
      <c r="R4648" s="44"/>
      <c r="S4648" s="44"/>
      <c r="T4648" s="44"/>
      <c r="U4648" s="44"/>
      <c r="V4648" s="44"/>
      <c r="W4648" s="44"/>
      <c r="X4648" s="44"/>
      <c r="Y4648" s="44"/>
    </row>
    <row r="4649" spans="14:25" ht="15" customHeight="1" x14ac:dyDescent="0.25">
      <c r="N4649" s="44"/>
      <c r="O4649" s="44"/>
      <c r="P4649" s="44"/>
      <c r="Q4649" s="44"/>
      <c r="R4649" s="44"/>
      <c r="S4649" s="44"/>
      <c r="T4649" s="44"/>
      <c r="U4649" s="44"/>
      <c r="V4649" s="44"/>
      <c r="W4649" s="44"/>
      <c r="X4649" s="44"/>
      <c r="Y4649" s="44"/>
    </row>
    <row r="4650" spans="14:25" ht="15" customHeight="1" x14ac:dyDescent="0.25">
      <c r="N4650" s="44"/>
      <c r="O4650" s="44"/>
      <c r="P4650" s="44"/>
      <c r="Q4650" s="44"/>
      <c r="R4650" s="44"/>
      <c r="S4650" s="44"/>
      <c r="T4650" s="44"/>
      <c r="U4650" s="44"/>
      <c r="V4650" s="44"/>
      <c r="W4650" s="44"/>
      <c r="X4650" s="44"/>
      <c r="Y4650" s="44"/>
    </row>
    <row r="4651" spans="14:25" ht="15" customHeight="1" x14ac:dyDescent="0.25">
      <c r="N4651" s="44"/>
      <c r="O4651" s="44"/>
      <c r="P4651" s="44"/>
      <c r="Q4651" s="44"/>
      <c r="R4651" s="44"/>
      <c r="S4651" s="44"/>
      <c r="T4651" s="44"/>
      <c r="U4651" s="44"/>
      <c r="V4651" s="44"/>
      <c r="W4651" s="44"/>
      <c r="X4651" s="44"/>
      <c r="Y4651" s="44"/>
    </row>
    <row r="4652" spans="14:25" ht="15" customHeight="1" x14ac:dyDescent="0.25">
      <c r="N4652" s="44"/>
      <c r="O4652" s="44"/>
      <c r="P4652" s="44"/>
      <c r="Q4652" s="44"/>
      <c r="R4652" s="44"/>
      <c r="S4652" s="44"/>
      <c r="T4652" s="44"/>
      <c r="U4652" s="44"/>
      <c r="V4652" s="44"/>
      <c r="W4652" s="44"/>
      <c r="X4652" s="44"/>
      <c r="Y4652" s="44"/>
    </row>
    <row r="4653" spans="14:25" ht="15" customHeight="1" x14ac:dyDescent="0.25">
      <c r="N4653" s="44"/>
      <c r="O4653" s="44"/>
      <c r="P4653" s="44"/>
      <c r="Q4653" s="44"/>
      <c r="R4653" s="44"/>
      <c r="S4653" s="44"/>
      <c r="T4653" s="44"/>
      <c r="U4653" s="44"/>
      <c r="V4653" s="44"/>
      <c r="W4653" s="44"/>
      <c r="X4653" s="44"/>
      <c r="Y4653" s="44"/>
    </row>
    <row r="4654" spans="14:25" ht="15" customHeight="1" x14ac:dyDescent="0.25">
      <c r="N4654" s="44"/>
      <c r="O4654" s="44"/>
      <c r="P4654" s="44"/>
      <c r="Q4654" s="44"/>
      <c r="R4654" s="44"/>
      <c r="S4654" s="44"/>
      <c r="T4654" s="44"/>
      <c r="U4654" s="44"/>
      <c r="V4654" s="44"/>
      <c r="W4654" s="44"/>
      <c r="X4654" s="44"/>
      <c r="Y4654" s="44"/>
    </row>
    <row r="4655" spans="14:25" ht="15" customHeight="1" x14ac:dyDescent="0.25">
      <c r="N4655" s="44"/>
      <c r="O4655" s="44"/>
      <c r="P4655" s="44"/>
      <c r="Q4655" s="44"/>
      <c r="R4655" s="44"/>
      <c r="S4655" s="44"/>
      <c r="T4655" s="44"/>
      <c r="U4655" s="44"/>
      <c r="V4655" s="44"/>
      <c r="W4655" s="44"/>
      <c r="X4655" s="44"/>
      <c r="Y4655" s="44"/>
    </row>
    <row r="4656" spans="14:25" ht="15" customHeight="1" x14ac:dyDescent="0.25">
      <c r="N4656" s="44"/>
      <c r="O4656" s="44"/>
      <c r="P4656" s="44"/>
      <c r="Q4656" s="44"/>
      <c r="R4656" s="44"/>
      <c r="S4656" s="44"/>
      <c r="T4656" s="44"/>
      <c r="U4656" s="44"/>
      <c r="V4656" s="44"/>
      <c r="W4656" s="44"/>
      <c r="X4656" s="44"/>
      <c r="Y4656" s="44"/>
    </row>
    <row r="4657" spans="14:25" ht="15" customHeight="1" x14ac:dyDescent="0.25">
      <c r="N4657" s="44"/>
      <c r="O4657" s="44"/>
      <c r="P4657" s="44"/>
      <c r="Q4657" s="44"/>
      <c r="R4657" s="44"/>
      <c r="S4657" s="44"/>
      <c r="T4657" s="44"/>
      <c r="U4657" s="44"/>
      <c r="V4657" s="44"/>
      <c r="W4657" s="44"/>
      <c r="X4657" s="44"/>
      <c r="Y4657" s="44"/>
    </row>
    <row r="4658" spans="14:25" ht="15" customHeight="1" x14ac:dyDescent="0.25">
      <c r="N4658" s="44"/>
      <c r="O4658" s="44"/>
      <c r="P4658" s="44"/>
      <c r="Q4658" s="44"/>
      <c r="R4658" s="44"/>
      <c r="S4658" s="44"/>
      <c r="T4658" s="44"/>
      <c r="U4658" s="44"/>
      <c r="V4658" s="44"/>
      <c r="W4658" s="44"/>
      <c r="X4658" s="44"/>
      <c r="Y4658" s="44"/>
    </row>
    <row r="4659" spans="14:25" ht="15" customHeight="1" x14ac:dyDescent="0.25">
      <c r="N4659" s="44"/>
      <c r="O4659" s="44"/>
      <c r="P4659" s="44"/>
      <c r="Q4659" s="44"/>
      <c r="R4659" s="44"/>
      <c r="S4659" s="44"/>
      <c r="T4659" s="44"/>
      <c r="U4659" s="44"/>
      <c r="V4659" s="44"/>
      <c r="W4659" s="44"/>
      <c r="X4659" s="44"/>
      <c r="Y4659" s="44"/>
    </row>
    <row r="4660" spans="14:25" ht="15" customHeight="1" x14ac:dyDescent="0.25">
      <c r="N4660" s="44"/>
      <c r="O4660" s="44"/>
      <c r="P4660" s="44"/>
      <c r="Q4660" s="44"/>
      <c r="R4660" s="44"/>
      <c r="S4660" s="44"/>
      <c r="T4660" s="44"/>
      <c r="U4660" s="44"/>
      <c r="V4660" s="44"/>
      <c r="W4660" s="44"/>
      <c r="X4660" s="44"/>
      <c r="Y4660" s="44"/>
    </row>
    <row r="4661" spans="14:25" ht="15" customHeight="1" x14ac:dyDescent="0.25">
      <c r="N4661" s="44"/>
      <c r="O4661" s="44"/>
      <c r="P4661" s="44"/>
      <c r="Q4661" s="44"/>
      <c r="R4661" s="44"/>
      <c r="S4661" s="44"/>
      <c r="T4661" s="44"/>
      <c r="U4661" s="44"/>
      <c r="V4661" s="44"/>
      <c r="W4661" s="44"/>
      <c r="X4661" s="44"/>
      <c r="Y4661" s="44"/>
    </row>
    <row r="4662" spans="14:25" ht="15" customHeight="1" x14ac:dyDescent="0.25">
      <c r="N4662" s="44"/>
      <c r="O4662" s="44"/>
      <c r="P4662" s="44"/>
      <c r="Q4662" s="44"/>
      <c r="R4662" s="44"/>
      <c r="S4662" s="44"/>
      <c r="T4662" s="44"/>
      <c r="U4662" s="44"/>
      <c r="V4662" s="44"/>
      <c r="W4662" s="44"/>
      <c r="X4662" s="44"/>
      <c r="Y4662" s="44"/>
    </row>
    <row r="4663" spans="14:25" ht="15" customHeight="1" x14ac:dyDescent="0.25">
      <c r="N4663" s="44"/>
      <c r="O4663" s="44"/>
      <c r="P4663" s="44"/>
      <c r="Q4663" s="44"/>
      <c r="R4663" s="44"/>
      <c r="S4663" s="44"/>
      <c r="T4663" s="44"/>
      <c r="U4663" s="44"/>
      <c r="V4663" s="44"/>
      <c r="W4663" s="44"/>
      <c r="X4663" s="44"/>
      <c r="Y4663" s="44"/>
    </row>
    <row r="4664" spans="14:25" ht="15" customHeight="1" x14ac:dyDescent="0.25">
      <c r="N4664" s="44"/>
      <c r="O4664" s="44"/>
      <c r="P4664" s="44"/>
      <c r="Q4664" s="44"/>
      <c r="R4664" s="44"/>
      <c r="S4664" s="44"/>
      <c r="T4664" s="44"/>
      <c r="U4664" s="44"/>
      <c r="V4664" s="44"/>
      <c r="W4664" s="44"/>
      <c r="X4664" s="44"/>
      <c r="Y4664" s="44"/>
    </row>
    <row r="4665" spans="14:25" ht="15" customHeight="1" x14ac:dyDescent="0.25">
      <c r="N4665" s="44"/>
      <c r="O4665" s="44"/>
      <c r="P4665" s="44"/>
      <c r="Q4665" s="44"/>
      <c r="R4665" s="44"/>
      <c r="S4665" s="44"/>
      <c r="T4665" s="44"/>
      <c r="U4665" s="44"/>
      <c r="V4665" s="44"/>
      <c r="W4665" s="44"/>
      <c r="X4665" s="44"/>
      <c r="Y4665" s="44"/>
    </row>
    <row r="4666" spans="14:25" ht="15" customHeight="1" x14ac:dyDescent="0.25">
      <c r="N4666" s="44"/>
      <c r="O4666" s="44"/>
      <c r="P4666" s="44"/>
      <c r="Q4666" s="44"/>
      <c r="R4666" s="44"/>
      <c r="S4666" s="44"/>
      <c r="T4666" s="44"/>
      <c r="U4666" s="44"/>
      <c r="V4666" s="44"/>
      <c r="W4666" s="44"/>
      <c r="X4666" s="44"/>
      <c r="Y4666" s="44"/>
    </row>
    <row r="4667" spans="14:25" ht="15" customHeight="1" x14ac:dyDescent="0.25">
      <c r="N4667" s="44"/>
      <c r="O4667" s="44"/>
      <c r="P4667" s="44"/>
      <c r="Q4667" s="44"/>
      <c r="R4667" s="44"/>
      <c r="S4667" s="44"/>
      <c r="T4667" s="44"/>
      <c r="U4667" s="44"/>
      <c r="V4667" s="44"/>
      <c r="W4667" s="44"/>
      <c r="X4667" s="44"/>
      <c r="Y4667" s="44"/>
    </row>
    <row r="4668" spans="14:25" ht="15" customHeight="1" x14ac:dyDescent="0.25">
      <c r="N4668" s="44"/>
      <c r="O4668" s="44"/>
      <c r="P4668" s="44"/>
      <c r="Q4668" s="44"/>
      <c r="R4668" s="44"/>
      <c r="S4668" s="44"/>
      <c r="T4668" s="44"/>
      <c r="U4668" s="44"/>
      <c r="V4668" s="44"/>
      <c r="W4668" s="44"/>
      <c r="X4668" s="44"/>
      <c r="Y4668" s="44"/>
    </row>
    <row r="4669" spans="14:25" ht="15" customHeight="1" x14ac:dyDescent="0.25">
      <c r="N4669" s="44"/>
      <c r="O4669" s="44"/>
      <c r="P4669" s="44"/>
      <c r="Q4669" s="44"/>
      <c r="R4669" s="44"/>
      <c r="S4669" s="44"/>
      <c r="T4669" s="44"/>
      <c r="U4669" s="44"/>
      <c r="V4669" s="44"/>
      <c r="W4669" s="44"/>
      <c r="X4669" s="44"/>
      <c r="Y4669" s="44"/>
    </row>
    <row r="4670" spans="14:25" ht="15" customHeight="1" x14ac:dyDescent="0.25">
      <c r="N4670" s="44"/>
      <c r="O4670" s="44"/>
      <c r="P4670" s="44"/>
      <c r="Q4670" s="44"/>
      <c r="R4670" s="44"/>
      <c r="S4670" s="44"/>
      <c r="T4670" s="44"/>
      <c r="U4670" s="44"/>
      <c r="V4670" s="44"/>
      <c r="W4670" s="44"/>
      <c r="X4670" s="44"/>
      <c r="Y4670" s="44"/>
    </row>
    <row r="4671" spans="14:25" ht="15" customHeight="1" x14ac:dyDescent="0.25">
      <c r="N4671" s="44"/>
      <c r="O4671" s="44"/>
      <c r="P4671" s="44"/>
      <c r="Q4671" s="44"/>
      <c r="R4671" s="44"/>
      <c r="S4671" s="44"/>
      <c r="T4671" s="44"/>
      <c r="U4671" s="44"/>
      <c r="V4671" s="44"/>
      <c r="W4671" s="44"/>
      <c r="X4671" s="44"/>
      <c r="Y4671" s="44"/>
    </row>
    <row r="4672" spans="14:25" ht="15" customHeight="1" x14ac:dyDescent="0.25">
      <c r="N4672" s="44"/>
      <c r="O4672" s="44"/>
      <c r="P4672" s="44"/>
      <c r="Q4672" s="44"/>
      <c r="R4672" s="44"/>
      <c r="S4672" s="44"/>
      <c r="T4672" s="44"/>
      <c r="U4672" s="44"/>
      <c r="V4672" s="44"/>
      <c r="W4672" s="44"/>
      <c r="X4672" s="44"/>
      <c r="Y4672" s="44"/>
    </row>
    <row r="4673" spans="14:25" ht="15" customHeight="1" x14ac:dyDescent="0.25">
      <c r="N4673" s="44"/>
      <c r="O4673" s="44"/>
      <c r="P4673" s="44"/>
      <c r="Q4673" s="44"/>
      <c r="R4673" s="44"/>
      <c r="S4673" s="44"/>
      <c r="T4673" s="44"/>
      <c r="U4673" s="44"/>
      <c r="V4673" s="44"/>
      <c r="W4673" s="44"/>
      <c r="X4673" s="44"/>
      <c r="Y4673" s="44"/>
    </row>
    <row r="4674" spans="14:25" ht="15" customHeight="1" x14ac:dyDescent="0.25">
      <c r="N4674" s="44"/>
      <c r="O4674" s="44"/>
      <c r="P4674" s="44"/>
      <c r="Q4674" s="44"/>
      <c r="R4674" s="44"/>
      <c r="S4674" s="44"/>
      <c r="T4674" s="44"/>
      <c r="U4674" s="44"/>
      <c r="V4674" s="44"/>
      <c r="W4674" s="44"/>
      <c r="X4674" s="44"/>
      <c r="Y4674" s="44"/>
    </row>
    <row r="4675" spans="14:25" ht="15" customHeight="1" x14ac:dyDescent="0.25">
      <c r="N4675" s="44"/>
      <c r="O4675" s="44"/>
      <c r="P4675" s="44"/>
      <c r="Q4675" s="44"/>
      <c r="R4675" s="44"/>
      <c r="S4675" s="44"/>
      <c r="T4675" s="44"/>
      <c r="U4675" s="44"/>
      <c r="V4675" s="44"/>
      <c r="W4675" s="44"/>
      <c r="X4675" s="44"/>
      <c r="Y4675" s="44"/>
    </row>
    <row r="4676" spans="14:25" ht="15" customHeight="1" x14ac:dyDescent="0.25">
      <c r="N4676" s="44"/>
      <c r="O4676" s="44"/>
      <c r="P4676" s="44"/>
      <c r="Q4676" s="44"/>
      <c r="R4676" s="44"/>
      <c r="S4676" s="44"/>
      <c r="T4676" s="44"/>
      <c r="U4676" s="44"/>
      <c r="V4676" s="44"/>
      <c r="W4676" s="44"/>
      <c r="X4676" s="44"/>
      <c r="Y4676" s="44"/>
    </row>
    <row r="4677" spans="14:25" ht="15" customHeight="1" x14ac:dyDescent="0.25">
      <c r="N4677" s="44"/>
      <c r="O4677" s="44"/>
      <c r="P4677" s="44"/>
      <c r="Q4677" s="44"/>
      <c r="R4677" s="44"/>
      <c r="S4677" s="44"/>
      <c r="T4677" s="44"/>
      <c r="U4677" s="44"/>
      <c r="V4677" s="44"/>
      <c r="W4677" s="44"/>
      <c r="X4677" s="44"/>
      <c r="Y4677" s="44"/>
    </row>
    <row r="4678" spans="14:25" ht="15" customHeight="1" x14ac:dyDescent="0.25">
      <c r="N4678" s="44"/>
      <c r="O4678" s="44"/>
      <c r="P4678" s="44"/>
      <c r="Q4678" s="44"/>
      <c r="R4678" s="44"/>
      <c r="S4678" s="44"/>
      <c r="T4678" s="44"/>
      <c r="U4678" s="44"/>
      <c r="V4678" s="44"/>
      <c r="W4678" s="44"/>
      <c r="X4678" s="44"/>
      <c r="Y4678" s="44"/>
    </row>
    <row r="4679" spans="14:25" ht="15" customHeight="1" x14ac:dyDescent="0.25">
      <c r="N4679" s="44"/>
      <c r="O4679" s="44"/>
      <c r="P4679" s="44"/>
      <c r="Q4679" s="44"/>
      <c r="R4679" s="44"/>
      <c r="S4679" s="44"/>
      <c r="T4679" s="44"/>
      <c r="U4679" s="44"/>
      <c r="V4679" s="44"/>
      <c r="W4679" s="44"/>
      <c r="X4679" s="44"/>
      <c r="Y4679" s="44"/>
    </row>
    <row r="4680" spans="14:25" ht="15" customHeight="1" x14ac:dyDescent="0.25">
      <c r="N4680" s="44"/>
      <c r="O4680" s="44"/>
      <c r="P4680" s="44"/>
      <c r="Q4680" s="44"/>
      <c r="R4680" s="44"/>
      <c r="S4680" s="44"/>
      <c r="T4680" s="44"/>
      <c r="U4680" s="44"/>
      <c r="V4680" s="44"/>
      <c r="W4680" s="44"/>
      <c r="X4680" s="44"/>
      <c r="Y4680" s="44"/>
    </row>
    <row r="4681" spans="14:25" ht="15" customHeight="1" x14ac:dyDescent="0.25">
      <c r="N4681" s="44"/>
      <c r="O4681" s="44"/>
      <c r="P4681" s="44"/>
      <c r="Q4681" s="44"/>
      <c r="R4681" s="44"/>
      <c r="S4681" s="44"/>
      <c r="T4681" s="44"/>
      <c r="U4681" s="44"/>
      <c r="V4681" s="44"/>
      <c r="W4681" s="44"/>
      <c r="X4681" s="44"/>
      <c r="Y4681" s="44"/>
    </row>
    <row r="4682" spans="14:25" ht="15" customHeight="1" x14ac:dyDescent="0.25">
      <c r="N4682" s="44"/>
      <c r="O4682" s="44"/>
      <c r="P4682" s="44"/>
      <c r="Q4682" s="44"/>
      <c r="R4682" s="44"/>
      <c r="S4682" s="44"/>
      <c r="T4682" s="44"/>
      <c r="U4682" s="44"/>
      <c r="V4682" s="44"/>
      <c r="W4682" s="44"/>
      <c r="X4682" s="44"/>
      <c r="Y4682" s="44"/>
    </row>
    <row r="4683" spans="14:25" ht="15" customHeight="1" x14ac:dyDescent="0.25">
      <c r="N4683" s="44"/>
      <c r="O4683" s="44"/>
      <c r="P4683" s="44"/>
      <c r="Q4683" s="44"/>
      <c r="R4683" s="44"/>
      <c r="S4683" s="44"/>
      <c r="T4683" s="44"/>
      <c r="U4683" s="44"/>
      <c r="V4683" s="44"/>
      <c r="W4683" s="44"/>
      <c r="X4683" s="44"/>
      <c r="Y4683" s="44"/>
    </row>
    <row r="4684" spans="14:25" ht="15" customHeight="1" x14ac:dyDescent="0.25">
      <c r="N4684" s="44"/>
      <c r="O4684" s="44"/>
      <c r="P4684" s="44"/>
      <c r="Q4684" s="44"/>
      <c r="R4684" s="44"/>
      <c r="S4684" s="44"/>
      <c r="T4684" s="44"/>
      <c r="U4684" s="44"/>
      <c r="V4684" s="44"/>
      <c r="W4684" s="44"/>
      <c r="X4684" s="44"/>
      <c r="Y4684" s="44"/>
    </row>
    <row r="4685" spans="14:25" ht="15" customHeight="1" x14ac:dyDescent="0.25">
      <c r="N4685" s="44"/>
      <c r="O4685" s="44"/>
      <c r="P4685" s="44"/>
      <c r="Q4685" s="44"/>
      <c r="R4685" s="44"/>
      <c r="S4685" s="44"/>
      <c r="T4685" s="44"/>
      <c r="U4685" s="44"/>
      <c r="V4685" s="44"/>
      <c r="W4685" s="44"/>
      <c r="X4685" s="44"/>
      <c r="Y4685" s="44"/>
    </row>
    <row r="4686" spans="14:25" ht="15" customHeight="1" x14ac:dyDescent="0.25">
      <c r="N4686" s="44"/>
      <c r="O4686" s="44"/>
      <c r="P4686" s="44"/>
      <c r="Q4686" s="44"/>
      <c r="R4686" s="44"/>
      <c r="S4686" s="44"/>
      <c r="T4686" s="44"/>
      <c r="U4686" s="44"/>
      <c r="V4686" s="44"/>
      <c r="W4686" s="44"/>
      <c r="X4686" s="44"/>
      <c r="Y4686" s="44"/>
    </row>
    <row r="4687" spans="14:25" ht="15" customHeight="1" x14ac:dyDescent="0.25">
      <c r="N4687" s="44"/>
      <c r="O4687" s="44"/>
      <c r="P4687" s="44"/>
      <c r="Q4687" s="44"/>
      <c r="R4687" s="44"/>
      <c r="S4687" s="44"/>
      <c r="T4687" s="44"/>
      <c r="U4687" s="44"/>
      <c r="V4687" s="44"/>
      <c r="W4687" s="44"/>
      <c r="X4687" s="44"/>
      <c r="Y4687" s="44"/>
    </row>
    <row r="4688" spans="14:25" ht="15" customHeight="1" x14ac:dyDescent="0.25">
      <c r="N4688" s="44"/>
      <c r="O4688" s="44"/>
      <c r="P4688" s="44"/>
      <c r="Q4688" s="44"/>
      <c r="R4688" s="44"/>
      <c r="S4688" s="44"/>
      <c r="T4688" s="44"/>
      <c r="U4688" s="44"/>
      <c r="V4688" s="44"/>
      <c r="W4688" s="44"/>
      <c r="X4688" s="44"/>
      <c r="Y4688" s="44"/>
    </row>
    <row r="4689" spans="14:25" ht="15" customHeight="1" x14ac:dyDescent="0.25">
      <c r="N4689" s="44"/>
      <c r="O4689" s="44"/>
      <c r="P4689" s="44"/>
      <c r="Q4689" s="44"/>
      <c r="R4689" s="44"/>
      <c r="S4689" s="44"/>
      <c r="T4689" s="44"/>
      <c r="U4689" s="44"/>
      <c r="V4689" s="44"/>
      <c r="W4689" s="44"/>
      <c r="X4689" s="44"/>
      <c r="Y4689" s="44"/>
    </row>
    <row r="4690" spans="14:25" ht="15" customHeight="1" x14ac:dyDescent="0.25">
      <c r="N4690" s="44"/>
      <c r="O4690" s="44"/>
      <c r="P4690" s="44"/>
      <c r="Q4690" s="44"/>
      <c r="R4690" s="44"/>
      <c r="S4690" s="44"/>
      <c r="T4690" s="44"/>
      <c r="U4690" s="44"/>
      <c r="V4690" s="44"/>
      <c r="W4690" s="44"/>
      <c r="X4690" s="44"/>
      <c r="Y4690" s="44"/>
    </row>
    <row r="4691" spans="14:25" ht="15" customHeight="1" x14ac:dyDescent="0.25">
      <c r="N4691" s="44"/>
      <c r="O4691" s="44"/>
      <c r="P4691" s="44"/>
      <c r="Q4691" s="44"/>
      <c r="R4691" s="44"/>
      <c r="S4691" s="44"/>
      <c r="T4691" s="44"/>
      <c r="U4691" s="44"/>
      <c r="V4691" s="44"/>
      <c r="W4691" s="44"/>
      <c r="X4691" s="44"/>
      <c r="Y4691" s="44"/>
    </row>
    <row r="4692" spans="14:25" ht="15" customHeight="1" x14ac:dyDescent="0.25">
      <c r="N4692" s="44"/>
      <c r="O4692" s="44"/>
      <c r="P4692" s="44"/>
      <c r="Q4692" s="44"/>
      <c r="R4692" s="44"/>
      <c r="S4692" s="44"/>
      <c r="T4692" s="44"/>
      <c r="U4692" s="44"/>
      <c r="V4692" s="44"/>
      <c r="W4692" s="44"/>
      <c r="X4692" s="44"/>
      <c r="Y4692" s="44"/>
    </row>
    <row r="4693" spans="14:25" ht="15" customHeight="1" x14ac:dyDescent="0.25">
      <c r="N4693" s="44"/>
      <c r="O4693" s="44"/>
      <c r="P4693" s="44"/>
      <c r="Q4693" s="44"/>
      <c r="R4693" s="44"/>
      <c r="S4693" s="44"/>
      <c r="T4693" s="44"/>
      <c r="U4693" s="44"/>
      <c r="V4693" s="44"/>
      <c r="W4693" s="44"/>
      <c r="X4693" s="44"/>
      <c r="Y4693" s="44"/>
    </row>
    <row r="4694" spans="14:25" ht="15" customHeight="1" x14ac:dyDescent="0.25">
      <c r="N4694" s="44"/>
      <c r="O4694" s="44"/>
      <c r="P4694" s="44"/>
      <c r="Q4694" s="44"/>
      <c r="R4694" s="44"/>
      <c r="S4694" s="44"/>
      <c r="T4694" s="44"/>
      <c r="U4694" s="44"/>
      <c r="V4694" s="44"/>
      <c r="W4694" s="44"/>
      <c r="X4694" s="44"/>
      <c r="Y4694" s="44"/>
    </row>
    <row r="4695" spans="14:25" ht="15" customHeight="1" x14ac:dyDescent="0.25">
      <c r="N4695" s="44"/>
      <c r="O4695" s="44"/>
      <c r="P4695" s="44"/>
      <c r="Q4695" s="44"/>
      <c r="R4695" s="44"/>
      <c r="S4695" s="44"/>
      <c r="T4695" s="44"/>
      <c r="U4695" s="44"/>
      <c r="V4695" s="44"/>
      <c r="W4695" s="44"/>
      <c r="X4695" s="44"/>
      <c r="Y4695" s="44"/>
    </row>
    <row r="4696" spans="14:25" ht="15" customHeight="1" x14ac:dyDescent="0.25">
      <c r="N4696" s="44"/>
      <c r="O4696" s="44"/>
      <c r="P4696" s="44"/>
      <c r="Q4696" s="44"/>
      <c r="R4696" s="44"/>
      <c r="S4696" s="44"/>
      <c r="T4696" s="44"/>
      <c r="U4696" s="44"/>
      <c r="V4696" s="44"/>
      <c r="W4696" s="44"/>
      <c r="X4696" s="44"/>
      <c r="Y4696" s="44"/>
    </row>
    <row r="4697" spans="14:25" ht="15" customHeight="1" x14ac:dyDescent="0.25">
      <c r="N4697" s="44"/>
      <c r="O4697" s="44"/>
      <c r="P4697" s="44"/>
      <c r="Q4697" s="44"/>
      <c r="R4697" s="44"/>
      <c r="S4697" s="44"/>
      <c r="T4697" s="44"/>
      <c r="U4697" s="44"/>
      <c r="V4697" s="44"/>
      <c r="W4697" s="44"/>
      <c r="X4697" s="44"/>
      <c r="Y4697" s="44"/>
    </row>
    <row r="4698" spans="14:25" ht="15" customHeight="1" x14ac:dyDescent="0.25">
      <c r="N4698" s="44"/>
      <c r="O4698" s="44"/>
      <c r="P4698" s="44"/>
      <c r="Q4698" s="44"/>
      <c r="R4698" s="44"/>
      <c r="S4698" s="44"/>
      <c r="T4698" s="44"/>
      <c r="U4698" s="44"/>
      <c r="V4698" s="44"/>
      <c r="W4698" s="44"/>
      <c r="X4698" s="44"/>
      <c r="Y4698" s="44"/>
    </row>
    <row r="4699" spans="14:25" ht="15" customHeight="1" x14ac:dyDescent="0.25">
      <c r="N4699" s="44"/>
      <c r="O4699" s="44"/>
      <c r="P4699" s="44"/>
      <c r="Q4699" s="44"/>
      <c r="R4699" s="44"/>
      <c r="S4699" s="44"/>
      <c r="T4699" s="44"/>
      <c r="U4699" s="44"/>
      <c r="V4699" s="44"/>
      <c r="W4699" s="44"/>
      <c r="X4699" s="44"/>
      <c r="Y4699" s="44"/>
    </row>
    <row r="4700" spans="14:25" ht="15" customHeight="1" x14ac:dyDescent="0.25">
      <c r="N4700" s="44"/>
      <c r="O4700" s="44"/>
      <c r="P4700" s="44"/>
      <c r="Q4700" s="44"/>
      <c r="R4700" s="44"/>
      <c r="S4700" s="44"/>
      <c r="T4700" s="44"/>
      <c r="U4700" s="44"/>
      <c r="V4700" s="44"/>
      <c r="W4700" s="44"/>
      <c r="X4700" s="44"/>
      <c r="Y4700" s="44"/>
    </row>
    <row r="4701" spans="14:25" ht="15" customHeight="1" x14ac:dyDescent="0.25">
      <c r="N4701" s="44"/>
      <c r="O4701" s="44"/>
      <c r="P4701" s="44"/>
      <c r="Q4701" s="44"/>
      <c r="R4701" s="44"/>
      <c r="S4701" s="44"/>
      <c r="T4701" s="44"/>
      <c r="U4701" s="44"/>
      <c r="V4701" s="44"/>
      <c r="W4701" s="44"/>
      <c r="X4701" s="44"/>
      <c r="Y4701" s="44"/>
    </row>
    <row r="4702" spans="14:25" ht="15" customHeight="1" x14ac:dyDescent="0.25">
      <c r="N4702" s="44"/>
      <c r="O4702" s="44"/>
      <c r="P4702" s="44"/>
      <c r="Q4702" s="44"/>
      <c r="R4702" s="44"/>
      <c r="S4702" s="44"/>
      <c r="T4702" s="44"/>
      <c r="U4702" s="44"/>
      <c r="V4702" s="44"/>
      <c r="W4702" s="44"/>
      <c r="X4702" s="44"/>
      <c r="Y4702" s="44"/>
    </row>
    <row r="4703" spans="14:25" ht="15" customHeight="1" x14ac:dyDescent="0.25">
      <c r="N4703" s="44"/>
      <c r="O4703" s="44"/>
      <c r="P4703" s="44"/>
      <c r="Q4703" s="44"/>
      <c r="R4703" s="44"/>
      <c r="S4703" s="44"/>
      <c r="T4703" s="44"/>
      <c r="U4703" s="44"/>
      <c r="V4703" s="44"/>
      <c r="W4703" s="44"/>
      <c r="X4703" s="44"/>
      <c r="Y4703" s="44"/>
    </row>
    <row r="4704" spans="14:25" ht="15" customHeight="1" x14ac:dyDescent="0.25">
      <c r="N4704" s="44"/>
      <c r="O4704" s="44"/>
      <c r="P4704" s="44"/>
      <c r="Q4704" s="44"/>
      <c r="R4704" s="44"/>
      <c r="S4704" s="44"/>
      <c r="T4704" s="44"/>
      <c r="U4704" s="44"/>
      <c r="V4704" s="44"/>
      <c r="W4704" s="44"/>
      <c r="X4704" s="44"/>
      <c r="Y4704" s="44"/>
    </row>
    <row r="4705" spans="14:25" ht="15" customHeight="1" x14ac:dyDescent="0.25">
      <c r="N4705" s="44"/>
      <c r="O4705" s="44"/>
      <c r="P4705" s="44"/>
      <c r="Q4705" s="44"/>
      <c r="R4705" s="44"/>
      <c r="S4705" s="44"/>
      <c r="T4705" s="44"/>
      <c r="U4705" s="44"/>
      <c r="V4705" s="44"/>
      <c r="W4705" s="44"/>
      <c r="X4705" s="44"/>
      <c r="Y4705" s="44"/>
    </row>
    <row r="4706" spans="14:25" ht="15" customHeight="1" x14ac:dyDescent="0.25">
      <c r="N4706" s="44"/>
      <c r="O4706" s="44"/>
      <c r="P4706" s="44"/>
      <c r="Q4706" s="44"/>
      <c r="R4706" s="44"/>
      <c r="S4706" s="44"/>
      <c r="T4706" s="44"/>
      <c r="U4706" s="44"/>
      <c r="V4706" s="44"/>
      <c r="W4706" s="44"/>
      <c r="X4706" s="44"/>
      <c r="Y4706" s="44"/>
    </row>
    <row r="4707" spans="14:25" ht="15" customHeight="1" x14ac:dyDescent="0.25">
      <c r="N4707" s="44"/>
      <c r="O4707" s="44"/>
      <c r="P4707" s="44"/>
      <c r="Q4707" s="44"/>
      <c r="R4707" s="44"/>
      <c r="S4707" s="44"/>
      <c r="T4707" s="44"/>
      <c r="U4707" s="44"/>
      <c r="V4707" s="44"/>
      <c r="W4707" s="44"/>
      <c r="X4707" s="44"/>
      <c r="Y4707" s="44"/>
    </row>
    <row r="4708" spans="14:25" ht="15" customHeight="1" x14ac:dyDescent="0.25">
      <c r="N4708" s="44"/>
      <c r="O4708" s="44"/>
      <c r="P4708" s="44"/>
      <c r="Q4708" s="44"/>
      <c r="R4708" s="44"/>
      <c r="S4708" s="44"/>
      <c r="T4708" s="44"/>
      <c r="U4708" s="44"/>
      <c r="V4708" s="44"/>
      <c r="W4708" s="44"/>
      <c r="X4708" s="44"/>
      <c r="Y4708" s="44"/>
    </row>
    <row r="4709" spans="14:25" ht="15" customHeight="1" x14ac:dyDescent="0.25">
      <c r="N4709" s="44"/>
      <c r="O4709" s="44"/>
      <c r="P4709" s="44"/>
      <c r="Q4709" s="44"/>
      <c r="R4709" s="44"/>
      <c r="S4709" s="44"/>
      <c r="T4709" s="44"/>
      <c r="U4709" s="44"/>
      <c r="V4709" s="44"/>
      <c r="W4709" s="44"/>
      <c r="X4709" s="44"/>
      <c r="Y4709" s="44"/>
    </row>
    <row r="4710" spans="14:25" ht="15" customHeight="1" x14ac:dyDescent="0.25">
      <c r="N4710" s="44"/>
      <c r="O4710" s="44"/>
      <c r="P4710" s="44"/>
      <c r="Q4710" s="44"/>
      <c r="R4710" s="44"/>
      <c r="S4710" s="44"/>
      <c r="T4710" s="44"/>
      <c r="U4710" s="44"/>
      <c r="V4710" s="44"/>
      <c r="W4710" s="44"/>
      <c r="X4710" s="44"/>
      <c r="Y4710" s="44"/>
    </row>
    <row r="4711" spans="14:25" ht="15" customHeight="1" x14ac:dyDescent="0.25">
      <c r="N4711" s="44"/>
      <c r="O4711" s="44"/>
      <c r="P4711" s="44"/>
      <c r="Q4711" s="44"/>
      <c r="R4711" s="44"/>
      <c r="S4711" s="44"/>
      <c r="T4711" s="44"/>
      <c r="U4711" s="44"/>
      <c r="V4711" s="44"/>
      <c r="W4711" s="44"/>
      <c r="X4711" s="44"/>
      <c r="Y4711" s="44"/>
    </row>
    <row r="4712" spans="14:25" ht="15" customHeight="1" x14ac:dyDescent="0.25">
      <c r="N4712" s="44"/>
      <c r="O4712" s="44"/>
      <c r="P4712" s="44"/>
      <c r="Q4712" s="44"/>
      <c r="R4712" s="44"/>
      <c r="S4712" s="44"/>
      <c r="T4712" s="44"/>
      <c r="U4712" s="44"/>
      <c r="V4712" s="44"/>
      <c r="W4712" s="44"/>
      <c r="X4712" s="44"/>
      <c r="Y4712" s="44"/>
    </row>
    <row r="4713" spans="14:25" ht="15" customHeight="1" x14ac:dyDescent="0.25">
      <c r="N4713" s="44"/>
      <c r="O4713" s="44"/>
      <c r="P4713" s="44"/>
      <c r="Q4713" s="44"/>
      <c r="R4713" s="44"/>
      <c r="S4713" s="44"/>
      <c r="T4713" s="44"/>
      <c r="U4713" s="44"/>
      <c r="V4713" s="44"/>
      <c r="W4713" s="44"/>
      <c r="X4713" s="44"/>
      <c r="Y4713" s="44"/>
    </row>
    <row r="4714" spans="14:25" ht="15" customHeight="1" x14ac:dyDescent="0.25">
      <c r="N4714" s="44"/>
      <c r="O4714" s="44"/>
      <c r="P4714" s="44"/>
      <c r="Q4714" s="44"/>
      <c r="R4714" s="44"/>
      <c r="S4714" s="44"/>
      <c r="T4714" s="44"/>
      <c r="U4714" s="44"/>
      <c r="V4714" s="44"/>
      <c r="W4714" s="44"/>
      <c r="X4714" s="44"/>
      <c r="Y4714" s="44"/>
    </row>
    <row r="4715" spans="14:25" ht="15" customHeight="1" x14ac:dyDescent="0.25">
      <c r="N4715" s="44"/>
      <c r="O4715" s="44"/>
      <c r="P4715" s="44"/>
      <c r="Q4715" s="44"/>
      <c r="R4715" s="44"/>
      <c r="S4715" s="44"/>
      <c r="T4715" s="44"/>
      <c r="U4715" s="44"/>
      <c r="V4715" s="44"/>
      <c r="W4715" s="44"/>
      <c r="X4715" s="44"/>
      <c r="Y4715" s="44"/>
    </row>
    <row r="4716" spans="14:25" ht="15" customHeight="1" x14ac:dyDescent="0.25">
      <c r="N4716" s="44"/>
      <c r="O4716" s="44"/>
      <c r="P4716" s="44"/>
      <c r="Q4716" s="44"/>
      <c r="R4716" s="44"/>
      <c r="S4716" s="44"/>
      <c r="T4716" s="44"/>
      <c r="U4716" s="44"/>
      <c r="V4716" s="44"/>
      <c r="W4716" s="44"/>
      <c r="X4716" s="44"/>
      <c r="Y4716" s="44"/>
    </row>
    <row r="4717" spans="14:25" ht="15" customHeight="1" x14ac:dyDescent="0.25">
      <c r="N4717" s="44"/>
      <c r="O4717" s="44"/>
      <c r="P4717" s="44"/>
      <c r="Q4717" s="44"/>
      <c r="R4717" s="44"/>
      <c r="S4717" s="44"/>
      <c r="T4717" s="44"/>
      <c r="U4717" s="44"/>
      <c r="V4717" s="44"/>
      <c r="W4717" s="44"/>
      <c r="X4717" s="44"/>
      <c r="Y4717" s="44"/>
    </row>
    <row r="4718" spans="14:25" ht="15" customHeight="1" x14ac:dyDescent="0.25">
      <c r="N4718" s="44"/>
      <c r="O4718" s="44"/>
      <c r="P4718" s="44"/>
      <c r="Q4718" s="44"/>
      <c r="R4718" s="44"/>
      <c r="S4718" s="44"/>
      <c r="T4718" s="44"/>
      <c r="U4718" s="44"/>
      <c r="V4718" s="44"/>
      <c r="W4718" s="44"/>
      <c r="X4718" s="44"/>
      <c r="Y4718" s="44"/>
    </row>
    <row r="4719" spans="14:25" ht="15" customHeight="1" x14ac:dyDescent="0.25">
      <c r="N4719" s="44"/>
      <c r="O4719" s="44"/>
      <c r="P4719" s="44"/>
      <c r="Q4719" s="44"/>
      <c r="R4719" s="44"/>
      <c r="S4719" s="44"/>
      <c r="T4719" s="44"/>
      <c r="U4719" s="44"/>
      <c r="V4719" s="44"/>
      <c r="W4719" s="44"/>
      <c r="X4719" s="44"/>
      <c r="Y4719" s="44"/>
    </row>
    <row r="4720" spans="14:25" ht="15" customHeight="1" x14ac:dyDescent="0.25">
      <c r="N4720" s="44"/>
      <c r="O4720" s="44"/>
      <c r="P4720" s="44"/>
      <c r="Q4720" s="44"/>
      <c r="R4720" s="44"/>
      <c r="S4720" s="44"/>
      <c r="T4720" s="44"/>
      <c r="U4720" s="44"/>
      <c r="V4720" s="44"/>
      <c r="W4720" s="44"/>
      <c r="X4720" s="44"/>
      <c r="Y4720" s="44"/>
    </row>
    <row r="4721" spans="14:25" ht="15" customHeight="1" x14ac:dyDescent="0.25">
      <c r="N4721" s="44"/>
      <c r="O4721" s="44"/>
      <c r="P4721" s="44"/>
      <c r="Q4721" s="44"/>
      <c r="R4721" s="44"/>
      <c r="S4721" s="44"/>
      <c r="T4721" s="44"/>
      <c r="U4721" s="44"/>
      <c r="V4721" s="44"/>
      <c r="W4721" s="44"/>
      <c r="X4721" s="44"/>
      <c r="Y4721" s="44"/>
    </row>
    <row r="4722" spans="14:25" ht="15" customHeight="1" x14ac:dyDescent="0.25">
      <c r="N4722" s="44"/>
      <c r="O4722" s="44"/>
      <c r="P4722" s="44"/>
      <c r="Q4722" s="44"/>
      <c r="R4722" s="44"/>
      <c r="S4722" s="44"/>
      <c r="T4722" s="44"/>
      <c r="U4722" s="44"/>
      <c r="V4722" s="44"/>
      <c r="W4722" s="44"/>
      <c r="X4722" s="44"/>
      <c r="Y4722" s="44"/>
    </row>
    <row r="4723" spans="14:25" ht="15" customHeight="1" x14ac:dyDescent="0.25">
      <c r="N4723" s="44"/>
      <c r="O4723" s="44"/>
      <c r="P4723" s="44"/>
      <c r="Q4723" s="44"/>
      <c r="R4723" s="44"/>
      <c r="S4723" s="44"/>
      <c r="T4723" s="44"/>
      <c r="U4723" s="44"/>
      <c r="V4723" s="44"/>
      <c r="W4723" s="44"/>
      <c r="X4723" s="44"/>
      <c r="Y4723" s="44"/>
    </row>
    <row r="4724" spans="14:25" ht="15" customHeight="1" x14ac:dyDescent="0.25">
      <c r="N4724" s="44"/>
      <c r="O4724" s="44"/>
      <c r="P4724" s="44"/>
      <c r="Q4724" s="44"/>
      <c r="R4724" s="44"/>
      <c r="S4724" s="44"/>
      <c r="T4724" s="44"/>
      <c r="U4724" s="44"/>
      <c r="V4724" s="44"/>
      <c r="W4724" s="44"/>
      <c r="X4724" s="44"/>
      <c r="Y4724" s="44"/>
    </row>
    <row r="4725" spans="14:25" ht="15" customHeight="1" x14ac:dyDescent="0.25">
      <c r="N4725" s="44"/>
      <c r="O4725" s="44"/>
      <c r="P4725" s="44"/>
      <c r="Q4725" s="44"/>
      <c r="R4725" s="44"/>
      <c r="S4725" s="44"/>
      <c r="T4725" s="44"/>
      <c r="U4725" s="44"/>
      <c r="V4725" s="44"/>
      <c r="W4725" s="44"/>
      <c r="X4725" s="44"/>
      <c r="Y4725" s="44"/>
    </row>
    <row r="4726" spans="14:25" ht="15" customHeight="1" x14ac:dyDescent="0.25">
      <c r="N4726" s="44"/>
      <c r="O4726" s="44"/>
      <c r="P4726" s="44"/>
      <c r="Q4726" s="44"/>
      <c r="R4726" s="44"/>
      <c r="S4726" s="44"/>
      <c r="T4726" s="44"/>
      <c r="U4726" s="44"/>
      <c r="V4726" s="44"/>
      <c r="W4726" s="44"/>
      <c r="X4726" s="44"/>
      <c r="Y4726" s="44"/>
    </row>
    <row r="4727" spans="14:25" ht="15" customHeight="1" x14ac:dyDescent="0.25">
      <c r="N4727" s="44"/>
      <c r="O4727" s="44"/>
      <c r="P4727" s="44"/>
      <c r="Q4727" s="44"/>
      <c r="R4727" s="44"/>
      <c r="S4727" s="44"/>
      <c r="T4727" s="44"/>
      <c r="U4727" s="44"/>
      <c r="V4727" s="44"/>
      <c r="W4727" s="44"/>
      <c r="X4727" s="44"/>
      <c r="Y4727" s="44"/>
    </row>
    <row r="4728" spans="14:25" ht="15" customHeight="1" x14ac:dyDescent="0.25">
      <c r="N4728" s="44"/>
      <c r="O4728" s="44"/>
      <c r="P4728" s="44"/>
      <c r="Q4728" s="44"/>
      <c r="R4728" s="44"/>
      <c r="S4728" s="44"/>
      <c r="T4728" s="44"/>
      <c r="U4728" s="44"/>
      <c r="V4728" s="44"/>
      <c r="W4728" s="44"/>
      <c r="X4728" s="44"/>
      <c r="Y4728" s="44"/>
    </row>
    <row r="4729" spans="14:25" ht="15" customHeight="1" x14ac:dyDescent="0.25">
      <c r="N4729" s="44"/>
      <c r="O4729" s="44"/>
      <c r="P4729" s="44"/>
      <c r="Q4729" s="44"/>
      <c r="R4729" s="44"/>
      <c r="S4729" s="44"/>
      <c r="T4729" s="44"/>
      <c r="U4729" s="44"/>
      <c r="V4729" s="44"/>
      <c r="W4729" s="44"/>
      <c r="X4729" s="44"/>
      <c r="Y4729" s="44"/>
    </row>
    <row r="4730" spans="14:25" ht="15" customHeight="1" x14ac:dyDescent="0.25">
      <c r="N4730" s="44"/>
      <c r="O4730" s="44"/>
      <c r="P4730" s="44"/>
      <c r="Q4730" s="44"/>
      <c r="R4730" s="44"/>
      <c r="S4730" s="44"/>
      <c r="T4730" s="44"/>
      <c r="U4730" s="44"/>
      <c r="V4730" s="44"/>
      <c r="W4730" s="44"/>
      <c r="X4730" s="44"/>
      <c r="Y4730" s="44"/>
    </row>
    <row r="4731" spans="14:25" ht="15" customHeight="1" x14ac:dyDescent="0.25">
      <c r="N4731" s="44"/>
      <c r="O4731" s="44"/>
      <c r="P4731" s="44"/>
      <c r="Q4731" s="44"/>
      <c r="R4731" s="44"/>
      <c r="S4731" s="44"/>
      <c r="T4731" s="44"/>
      <c r="U4731" s="44"/>
      <c r="V4731" s="44"/>
      <c r="W4731" s="44"/>
      <c r="X4731" s="44"/>
      <c r="Y4731" s="44"/>
    </row>
    <row r="4732" spans="14:25" ht="15" customHeight="1" x14ac:dyDescent="0.25">
      <c r="N4732" s="44"/>
      <c r="O4732" s="44"/>
      <c r="P4732" s="44"/>
      <c r="Q4732" s="44"/>
      <c r="R4732" s="44"/>
      <c r="S4732" s="44"/>
      <c r="T4732" s="44"/>
      <c r="U4732" s="44"/>
      <c r="V4732" s="44"/>
      <c r="W4732" s="44"/>
      <c r="X4732" s="44"/>
      <c r="Y4732" s="44"/>
    </row>
    <row r="4733" spans="14:25" ht="15" customHeight="1" x14ac:dyDescent="0.25">
      <c r="N4733" s="44"/>
      <c r="O4733" s="44"/>
      <c r="P4733" s="44"/>
      <c r="Q4733" s="44"/>
      <c r="R4733" s="44"/>
      <c r="S4733" s="44"/>
      <c r="T4733" s="44"/>
      <c r="U4733" s="44"/>
      <c r="V4733" s="44"/>
      <c r="W4733" s="44"/>
      <c r="X4733" s="44"/>
      <c r="Y4733" s="44"/>
    </row>
    <row r="4734" spans="14:25" ht="15" customHeight="1" x14ac:dyDescent="0.25">
      <c r="N4734" s="44"/>
      <c r="O4734" s="44"/>
      <c r="P4734" s="44"/>
      <c r="Q4734" s="44"/>
      <c r="R4734" s="44"/>
      <c r="S4734" s="44"/>
      <c r="T4734" s="44"/>
      <c r="U4734" s="44"/>
      <c r="V4734" s="44"/>
      <c r="W4734" s="44"/>
      <c r="X4734" s="44"/>
      <c r="Y4734" s="44"/>
    </row>
    <row r="4735" spans="14:25" ht="15" customHeight="1" x14ac:dyDescent="0.25">
      <c r="N4735" s="44"/>
      <c r="O4735" s="44"/>
      <c r="P4735" s="44"/>
      <c r="Q4735" s="44"/>
      <c r="R4735" s="44"/>
      <c r="S4735" s="44"/>
      <c r="T4735" s="44"/>
      <c r="U4735" s="44"/>
      <c r="V4735" s="44"/>
      <c r="W4735" s="44"/>
      <c r="X4735" s="44"/>
      <c r="Y4735" s="44"/>
    </row>
    <row r="4736" spans="14:25" ht="15" customHeight="1" x14ac:dyDescent="0.25">
      <c r="N4736" s="44"/>
      <c r="O4736" s="44"/>
      <c r="P4736" s="44"/>
      <c r="Q4736" s="44"/>
      <c r="R4736" s="44"/>
      <c r="S4736" s="44"/>
      <c r="T4736" s="44"/>
      <c r="U4736" s="44"/>
      <c r="V4736" s="44"/>
      <c r="W4736" s="44"/>
      <c r="X4736" s="44"/>
      <c r="Y4736" s="44"/>
    </row>
    <row r="4737" spans="14:25" ht="15" customHeight="1" x14ac:dyDescent="0.25">
      <c r="N4737" s="44"/>
      <c r="O4737" s="44"/>
      <c r="P4737" s="44"/>
      <c r="Q4737" s="44"/>
      <c r="R4737" s="44"/>
      <c r="S4737" s="44"/>
      <c r="T4737" s="44"/>
      <c r="U4737" s="44"/>
      <c r="V4737" s="44"/>
      <c r="W4737" s="44"/>
      <c r="X4737" s="44"/>
      <c r="Y4737" s="44"/>
    </row>
    <row r="4738" spans="14:25" ht="15" customHeight="1" x14ac:dyDescent="0.25">
      <c r="N4738" s="44"/>
      <c r="O4738" s="44"/>
      <c r="P4738" s="44"/>
      <c r="Q4738" s="44"/>
      <c r="R4738" s="44"/>
      <c r="S4738" s="44"/>
      <c r="T4738" s="44"/>
      <c r="U4738" s="44"/>
      <c r="V4738" s="44"/>
      <c r="W4738" s="44"/>
      <c r="X4738" s="44"/>
      <c r="Y4738" s="44"/>
    </row>
    <row r="4739" spans="14:25" ht="15" customHeight="1" x14ac:dyDescent="0.25">
      <c r="N4739" s="44"/>
      <c r="O4739" s="44"/>
      <c r="P4739" s="44"/>
      <c r="Q4739" s="44"/>
      <c r="R4739" s="44"/>
      <c r="S4739" s="44"/>
      <c r="T4739" s="44"/>
      <c r="U4739" s="44"/>
      <c r="V4739" s="44"/>
      <c r="W4739" s="44"/>
      <c r="X4739" s="44"/>
      <c r="Y4739" s="44"/>
    </row>
    <row r="4740" spans="14:25" ht="15" customHeight="1" x14ac:dyDescent="0.25">
      <c r="N4740" s="44"/>
      <c r="O4740" s="44"/>
      <c r="P4740" s="44"/>
      <c r="Q4740" s="44"/>
      <c r="R4740" s="44"/>
      <c r="S4740" s="44"/>
      <c r="T4740" s="44"/>
      <c r="U4740" s="44"/>
      <c r="V4740" s="44"/>
      <c r="W4740" s="44"/>
      <c r="X4740" s="44"/>
      <c r="Y4740" s="44"/>
    </row>
    <row r="4741" spans="14:25" ht="15" customHeight="1" x14ac:dyDescent="0.25">
      <c r="N4741" s="44"/>
      <c r="O4741" s="44"/>
      <c r="P4741" s="44"/>
      <c r="Q4741" s="44"/>
      <c r="R4741" s="44"/>
      <c r="S4741" s="44"/>
      <c r="T4741" s="44"/>
      <c r="U4741" s="44"/>
      <c r="V4741" s="44"/>
      <c r="W4741" s="44"/>
      <c r="X4741" s="44"/>
      <c r="Y4741" s="44"/>
    </row>
    <row r="4742" spans="14:25" ht="15" customHeight="1" x14ac:dyDescent="0.25">
      <c r="N4742" s="44"/>
      <c r="O4742" s="44"/>
      <c r="P4742" s="44"/>
      <c r="Q4742" s="44"/>
      <c r="R4742" s="44"/>
      <c r="S4742" s="44"/>
      <c r="T4742" s="44"/>
      <c r="U4742" s="44"/>
      <c r="V4742" s="44"/>
      <c r="W4742" s="44"/>
      <c r="X4742" s="44"/>
      <c r="Y4742" s="44"/>
    </row>
    <row r="4743" spans="14:25" ht="15" customHeight="1" x14ac:dyDescent="0.25">
      <c r="N4743" s="44"/>
      <c r="O4743" s="44"/>
      <c r="P4743" s="44"/>
      <c r="Q4743" s="44"/>
      <c r="R4743" s="44"/>
      <c r="S4743" s="44"/>
      <c r="T4743" s="44"/>
      <c r="U4743" s="44"/>
      <c r="V4743" s="44"/>
      <c r="W4743" s="44"/>
      <c r="X4743" s="44"/>
      <c r="Y4743" s="44"/>
    </row>
    <row r="4744" spans="14:25" ht="15" customHeight="1" x14ac:dyDescent="0.25">
      <c r="N4744" s="44"/>
      <c r="O4744" s="44"/>
      <c r="P4744" s="44"/>
      <c r="Q4744" s="44"/>
      <c r="R4744" s="44"/>
      <c r="S4744" s="44"/>
      <c r="T4744" s="44"/>
      <c r="U4744" s="44"/>
      <c r="V4744" s="44"/>
      <c r="W4744" s="44"/>
      <c r="X4744" s="44"/>
      <c r="Y4744" s="44"/>
    </row>
    <row r="4745" spans="14:25" ht="15" customHeight="1" x14ac:dyDescent="0.25">
      <c r="N4745" s="44"/>
      <c r="O4745" s="44"/>
      <c r="P4745" s="44"/>
      <c r="Q4745" s="44"/>
      <c r="R4745" s="44"/>
      <c r="S4745" s="44"/>
      <c r="T4745" s="44"/>
      <c r="U4745" s="44"/>
      <c r="V4745" s="44"/>
      <c r="W4745" s="44"/>
      <c r="X4745" s="44"/>
      <c r="Y4745" s="44"/>
    </row>
    <row r="4746" spans="14:25" ht="15" customHeight="1" x14ac:dyDescent="0.25">
      <c r="N4746" s="44"/>
      <c r="O4746" s="44"/>
      <c r="P4746" s="44"/>
      <c r="Q4746" s="44"/>
      <c r="R4746" s="44"/>
      <c r="S4746" s="44"/>
      <c r="T4746" s="44"/>
      <c r="U4746" s="44"/>
      <c r="V4746" s="44"/>
      <c r="W4746" s="44"/>
      <c r="X4746" s="44"/>
      <c r="Y4746" s="44"/>
    </row>
    <row r="4747" spans="14:25" ht="15" customHeight="1" x14ac:dyDescent="0.25">
      <c r="N4747" s="44"/>
      <c r="O4747" s="44"/>
      <c r="P4747" s="44"/>
      <c r="Q4747" s="44"/>
      <c r="R4747" s="44"/>
      <c r="S4747" s="44"/>
      <c r="T4747" s="44"/>
      <c r="U4747" s="44"/>
      <c r="V4747" s="44"/>
      <c r="W4747" s="44"/>
      <c r="X4747" s="44"/>
      <c r="Y4747" s="44"/>
    </row>
    <row r="4748" spans="14:25" ht="15" customHeight="1" x14ac:dyDescent="0.25">
      <c r="N4748" s="44"/>
      <c r="O4748" s="44"/>
      <c r="P4748" s="44"/>
      <c r="Q4748" s="44"/>
      <c r="R4748" s="44"/>
      <c r="S4748" s="44"/>
      <c r="T4748" s="44"/>
      <c r="U4748" s="44"/>
      <c r="V4748" s="44"/>
      <c r="W4748" s="44"/>
      <c r="X4748" s="44"/>
      <c r="Y4748" s="44"/>
    </row>
    <row r="4749" spans="14:25" ht="15" customHeight="1" x14ac:dyDescent="0.25">
      <c r="N4749" s="44"/>
      <c r="O4749" s="44"/>
      <c r="P4749" s="44"/>
      <c r="Q4749" s="44"/>
      <c r="R4749" s="44"/>
      <c r="S4749" s="44"/>
      <c r="T4749" s="44"/>
      <c r="U4749" s="44"/>
      <c r="V4749" s="44"/>
      <c r="W4749" s="44"/>
      <c r="X4749" s="44"/>
      <c r="Y4749" s="44"/>
    </row>
    <row r="4750" spans="14:25" ht="15" customHeight="1" x14ac:dyDescent="0.25">
      <c r="N4750" s="44"/>
      <c r="O4750" s="44"/>
      <c r="P4750" s="44"/>
      <c r="Q4750" s="44"/>
      <c r="R4750" s="44"/>
      <c r="S4750" s="44"/>
      <c r="T4750" s="44"/>
      <c r="U4750" s="44"/>
      <c r="V4750" s="44"/>
      <c r="W4750" s="44"/>
      <c r="X4750" s="44"/>
      <c r="Y4750" s="44"/>
    </row>
    <row r="4751" spans="14:25" ht="15" customHeight="1" x14ac:dyDescent="0.25">
      <c r="N4751" s="44"/>
      <c r="O4751" s="44"/>
      <c r="P4751" s="44"/>
      <c r="Q4751" s="44"/>
      <c r="R4751" s="44"/>
      <c r="S4751" s="44"/>
      <c r="T4751" s="44"/>
      <c r="U4751" s="44"/>
      <c r="V4751" s="44"/>
      <c r="W4751" s="44"/>
      <c r="X4751" s="44"/>
      <c r="Y4751" s="44"/>
    </row>
    <row r="4752" spans="14:25" ht="15" customHeight="1" x14ac:dyDescent="0.25">
      <c r="N4752" s="44"/>
      <c r="O4752" s="44"/>
      <c r="P4752" s="44"/>
      <c r="Q4752" s="44"/>
      <c r="R4752" s="44"/>
      <c r="S4752" s="44"/>
      <c r="T4752" s="44"/>
      <c r="U4752" s="44"/>
      <c r="V4752" s="44"/>
      <c r="W4752" s="44"/>
      <c r="X4752" s="44"/>
      <c r="Y4752" s="44"/>
    </row>
    <row r="4753" spans="14:25" ht="15" customHeight="1" x14ac:dyDescent="0.25">
      <c r="N4753" s="44"/>
      <c r="O4753" s="44"/>
      <c r="P4753" s="44"/>
      <c r="Q4753" s="44"/>
      <c r="R4753" s="44"/>
      <c r="S4753" s="44"/>
      <c r="T4753" s="44"/>
      <c r="U4753" s="44"/>
      <c r="V4753" s="44"/>
      <c r="W4753" s="44"/>
      <c r="X4753" s="44"/>
      <c r="Y4753" s="44"/>
    </row>
    <row r="4754" spans="14:25" ht="15" customHeight="1" x14ac:dyDescent="0.25">
      <c r="N4754" s="44"/>
      <c r="O4754" s="44"/>
      <c r="P4754" s="44"/>
      <c r="Q4754" s="44"/>
      <c r="R4754" s="44"/>
      <c r="S4754" s="44"/>
      <c r="T4754" s="44"/>
      <c r="U4754" s="44"/>
      <c r="V4754" s="44"/>
      <c r="W4754" s="44"/>
      <c r="X4754" s="44"/>
      <c r="Y4754" s="44"/>
    </row>
    <row r="4755" spans="14:25" ht="15" customHeight="1" x14ac:dyDescent="0.25">
      <c r="N4755" s="44"/>
      <c r="O4755" s="44"/>
      <c r="P4755" s="44"/>
      <c r="Q4755" s="44"/>
      <c r="R4755" s="44"/>
      <c r="S4755" s="44"/>
      <c r="T4755" s="44"/>
      <c r="U4755" s="44"/>
      <c r="V4755" s="44"/>
      <c r="W4755" s="44"/>
      <c r="X4755" s="44"/>
      <c r="Y4755" s="44"/>
    </row>
    <row r="4756" spans="14:25" ht="15" customHeight="1" x14ac:dyDescent="0.25">
      <c r="N4756" s="44"/>
      <c r="O4756" s="44"/>
      <c r="P4756" s="44"/>
      <c r="Q4756" s="44"/>
      <c r="R4756" s="44"/>
      <c r="S4756" s="44"/>
      <c r="T4756" s="44"/>
      <c r="U4756" s="44"/>
      <c r="V4756" s="44"/>
      <c r="W4756" s="44"/>
      <c r="X4756" s="44"/>
      <c r="Y4756" s="44"/>
    </row>
    <row r="4757" spans="14:25" ht="15" customHeight="1" x14ac:dyDescent="0.25">
      <c r="N4757" s="44"/>
      <c r="O4757" s="44"/>
      <c r="P4757" s="44"/>
      <c r="Q4757" s="44"/>
      <c r="R4757" s="44"/>
      <c r="S4757" s="44"/>
      <c r="T4757" s="44"/>
      <c r="U4757" s="44"/>
      <c r="V4757" s="44"/>
      <c r="W4757" s="44"/>
      <c r="X4757" s="44"/>
      <c r="Y4757" s="44"/>
    </row>
    <row r="4758" spans="14:25" ht="15" customHeight="1" x14ac:dyDescent="0.25">
      <c r="N4758" s="44"/>
      <c r="O4758" s="44"/>
      <c r="P4758" s="44"/>
      <c r="Q4758" s="44"/>
      <c r="R4758" s="44"/>
      <c r="S4758" s="44"/>
      <c r="T4758" s="44"/>
      <c r="U4758" s="44"/>
      <c r="V4758" s="44"/>
      <c r="W4758" s="44"/>
      <c r="X4758" s="44"/>
      <c r="Y4758" s="44"/>
    </row>
    <row r="4759" spans="14:25" ht="15" customHeight="1" x14ac:dyDescent="0.25">
      <c r="N4759" s="44"/>
      <c r="O4759" s="44"/>
      <c r="P4759" s="44"/>
      <c r="Q4759" s="44"/>
      <c r="R4759" s="44"/>
      <c r="S4759" s="44"/>
      <c r="T4759" s="44"/>
      <c r="U4759" s="44"/>
      <c r="V4759" s="44"/>
      <c r="W4759" s="44"/>
      <c r="X4759" s="44"/>
      <c r="Y4759" s="44"/>
    </row>
    <row r="4760" spans="14:25" ht="15" customHeight="1" x14ac:dyDescent="0.25">
      <c r="N4760" s="44"/>
      <c r="O4760" s="44"/>
      <c r="P4760" s="44"/>
      <c r="Q4760" s="44"/>
      <c r="R4760" s="44"/>
      <c r="S4760" s="44"/>
      <c r="T4760" s="44"/>
      <c r="U4760" s="44"/>
      <c r="V4760" s="44"/>
      <c r="W4760" s="44"/>
      <c r="X4760" s="44"/>
      <c r="Y4760" s="44"/>
    </row>
    <row r="4761" spans="14:25" ht="15" customHeight="1" x14ac:dyDescent="0.25">
      <c r="N4761" s="44"/>
      <c r="O4761" s="44"/>
      <c r="P4761" s="44"/>
      <c r="Q4761" s="44"/>
      <c r="R4761" s="44"/>
      <c r="S4761" s="44"/>
      <c r="T4761" s="44"/>
      <c r="U4761" s="44"/>
      <c r="V4761" s="44"/>
      <c r="W4761" s="44"/>
      <c r="X4761" s="44"/>
      <c r="Y4761" s="44"/>
    </row>
    <row r="4762" spans="14:25" ht="15" customHeight="1" x14ac:dyDescent="0.25">
      <c r="N4762" s="44"/>
      <c r="O4762" s="44"/>
      <c r="P4762" s="44"/>
      <c r="Q4762" s="44"/>
      <c r="R4762" s="44"/>
      <c r="S4762" s="44"/>
      <c r="T4762" s="44"/>
      <c r="U4762" s="44"/>
      <c r="V4762" s="44"/>
      <c r="W4762" s="44"/>
      <c r="X4762" s="44"/>
      <c r="Y4762" s="44"/>
    </row>
    <row r="4763" spans="14:25" ht="15" customHeight="1" x14ac:dyDescent="0.25">
      <c r="N4763" s="44"/>
      <c r="O4763" s="44"/>
      <c r="P4763" s="44"/>
      <c r="Q4763" s="44"/>
      <c r="R4763" s="44"/>
      <c r="S4763" s="44"/>
      <c r="T4763" s="44"/>
      <c r="U4763" s="44"/>
      <c r="V4763" s="44"/>
      <c r="W4763" s="44"/>
      <c r="X4763" s="44"/>
      <c r="Y4763" s="44"/>
    </row>
    <row r="4764" spans="14:25" ht="15" customHeight="1" x14ac:dyDescent="0.25">
      <c r="N4764" s="44"/>
      <c r="O4764" s="44"/>
      <c r="P4764" s="44"/>
      <c r="Q4764" s="44"/>
      <c r="R4764" s="44"/>
      <c r="S4764" s="44"/>
      <c r="T4764" s="44"/>
      <c r="U4764" s="44"/>
      <c r="V4764" s="44"/>
      <c r="W4764" s="44"/>
      <c r="X4764" s="44"/>
      <c r="Y4764" s="44"/>
    </row>
    <row r="4765" spans="14:25" ht="15" customHeight="1" x14ac:dyDescent="0.25">
      <c r="N4765" s="44"/>
      <c r="O4765" s="44"/>
      <c r="P4765" s="44"/>
      <c r="Q4765" s="44"/>
      <c r="R4765" s="44"/>
      <c r="S4765" s="44"/>
      <c r="T4765" s="44"/>
      <c r="U4765" s="44"/>
      <c r="V4765" s="44"/>
      <c r="W4765" s="44"/>
      <c r="X4765" s="44"/>
      <c r="Y4765" s="44"/>
    </row>
    <row r="4766" spans="14:25" ht="15" customHeight="1" x14ac:dyDescent="0.25">
      <c r="N4766" s="44"/>
      <c r="O4766" s="44"/>
      <c r="P4766" s="44"/>
      <c r="Q4766" s="44"/>
      <c r="R4766" s="44"/>
      <c r="S4766" s="44"/>
      <c r="T4766" s="44"/>
      <c r="U4766" s="44"/>
      <c r="V4766" s="44"/>
      <c r="W4766" s="44"/>
      <c r="X4766" s="44"/>
      <c r="Y4766" s="44"/>
    </row>
    <row r="4767" spans="14:25" ht="15" customHeight="1" x14ac:dyDescent="0.25">
      <c r="N4767" s="44"/>
      <c r="O4767" s="44"/>
      <c r="P4767" s="44"/>
      <c r="Q4767" s="44"/>
      <c r="R4767" s="44"/>
      <c r="S4767" s="44"/>
      <c r="T4767" s="44"/>
      <c r="U4767" s="44"/>
      <c r="V4767" s="44"/>
      <c r="W4767" s="44"/>
      <c r="X4767" s="44"/>
      <c r="Y4767" s="44"/>
    </row>
    <row r="4768" spans="14:25" ht="15" customHeight="1" x14ac:dyDescent="0.25">
      <c r="N4768" s="44"/>
      <c r="O4768" s="44"/>
      <c r="P4768" s="44"/>
      <c r="Q4768" s="44"/>
      <c r="R4768" s="44"/>
      <c r="S4768" s="44"/>
      <c r="T4768" s="44"/>
      <c r="U4768" s="44"/>
      <c r="V4768" s="44"/>
      <c r="W4768" s="44"/>
      <c r="X4768" s="44"/>
      <c r="Y4768" s="44"/>
    </row>
    <row r="4769" spans="14:25" ht="15" customHeight="1" x14ac:dyDescent="0.25">
      <c r="N4769" s="44"/>
      <c r="O4769" s="44"/>
      <c r="P4769" s="44"/>
      <c r="Q4769" s="44"/>
      <c r="R4769" s="44"/>
      <c r="S4769" s="44"/>
      <c r="T4769" s="44"/>
      <c r="U4769" s="44"/>
      <c r="V4769" s="44"/>
      <c r="W4769" s="44"/>
      <c r="X4769" s="44"/>
      <c r="Y4769" s="44"/>
    </row>
    <row r="4770" spans="14:25" ht="15" customHeight="1" x14ac:dyDescent="0.25">
      <c r="N4770" s="44"/>
      <c r="O4770" s="44"/>
      <c r="P4770" s="44"/>
      <c r="Q4770" s="44"/>
      <c r="R4770" s="44"/>
      <c r="S4770" s="44"/>
      <c r="T4770" s="44"/>
      <c r="U4770" s="44"/>
      <c r="V4770" s="44"/>
      <c r="W4770" s="44"/>
      <c r="X4770" s="44"/>
      <c r="Y4770" s="44"/>
    </row>
    <row r="4771" spans="14:25" ht="15" customHeight="1" x14ac:dyDescent="0.25">
      <c r="N4771" s="44"/>
      <c r="O4771" s="44"/>
      <c r="P4771" s="44"/>
      <c r="Q4771" s="44"/>
      <c r="R4771" s="44"/>
      <c r="S4771" s="44"/>
      <c r="T4771" s="44"/>
      <c r="U4771" s="44"/>
      <c r="V4771" s="44"/>
      <c r="W4771" s="44"/>
      <c r="X4771" s="44"/>
      <c r="Y4771" s="44"/>
    </row>
    <row r="4772" spans="14:25" ht="15" customHeight="1" x14ac:dyDescent="0.25">
      <c r="N4772" s="44"/>
      <c r="O4772" s="44"/>
      <c r="P4772" s="44"/>
      <c r="Q4772" s="44"/>
      <c r="R4772" s="44"/>
      <c r="S4772" s="44"/>
      <c r="T4772" s="44"/>
      <c r="U4772" s="44"/>
      <c r="V4772" s="44"/>
      <c r="W4772" s="44"/>
      <c r="X4772" s="44"/>
      <c r="Y4772" s="44"/>
    </row>
    <row r="4773" spans="14:25" ht="15" customHeight="1" x14ac:dyDescent="0.25">
      <c r="N4773" s="44"/>
      <c r="O4773" s="44"/>
      <c r="P4773" s="44"/>
      <c r="Q4773" s="44"/>
      <c r="R4773" s="44"/>
      <c r="S4773" s="44"/>
      <c r="T4773" s="44"/>
      <c r="U4773" s="44"/>
      <c r="V4773" s="44"/>
      <c r="W4773" s="44"/>
      <c r="X4773" s="44"/>
      <c r="Y4773" s="44"/>
    </row>
    <row r="4774" spans="14:25" ht="15" customHeight="1" x14ac:dyDescent="0.25">
      <c r="N4774" s="44"/>
      <c r="O4774" s="44"/>
      <c r="P4774" s="44"/>
      <c r="Q4774" s="44"/>
      <c r="R4774" s="44"/>
      <c r="S4774" s="44"/>
      <c r="T4774" s="44"/>
      <c r="U4774" s="44"/>
      <c r="V4774" s="44"/>
      <c r="W4774" s="44"/>
      <c r="X4774" s="44"/>
      <c r="Y4774" s="44"/>
    </row>
    <row r="4775" spans="14:25" ht="15" customHeight="1" x14ac:dyDescent="0.25">
      <c r="N4775" s="44"/>
      <c r="O4775" s="44"/>
      <c r="P4775" s="44"/>
      <c r="Q4775" s="44"/>
      <c r="R4775" s="44"/>
      <c r="S4775" s="44"/>
      <c r="T4775" s="44"/>
      <c r="U4775" s="44"/>
      <c r="V4775" s="44"/>
      <c r="W4775" s="44"/>
      <c r="X4775" s="44"/>
      <c r="Y4775" s="44"/>
    </row>
    <row r="4776" spans="14:25" ht="15" customHeight="1" x14ac:dyDescent="0.25">
      <c r="N4776" s="44"/>
      <c r="O4776" s="44"/>
      <c r="P4776" s="44"/>
      <c r="Q4776" s="44"/>
      <c r="R4776" s="44"/>
      <c r="S4776" s="44"/>
      <c r="T4776" s="44"/>
      <c r="U4776" s="44"/>
      <c r="V4776" s="44"/>
      <c r="W4776" s="44"/>
      <c r="X4776" s="44"/>
      <c r="Y4776" s="44"/>
    </row>
    <row r="4777" spans="14:25" ht="15" customHeight="1" x14ac:dyDescent="0.25">
      <c r="N4777" s="44"/>
      <c r="O4777" s="44"/>
      <c r="P4777" s="44"/>
      <c r="Q4777" s="44"/>
      <c r="R4777" s="44"/>
      <c r="S4777" s="44"/>
      <c r="T4777" s="44"/>
      <c r="U4777" s="44"/>
      <c r="V4777" s="44"/>
      <c r="W4777" s="44"/>
      <c r="X4777" s="44"/>
      <c r="Y4777" s="44"/>
    </row>
    <row r="4778" spans="14:25" ht="15" customHeight="1" x14ac:dyDescent="0.25">
      <c r="N4778" s="44"/>
      <c r="O4778" s="44"/>
      <c r="P4778" s="44"/>
      <c r="Q4778" s="44"/>
      <c r="R4778" s="44"/>
      <c r="S4778" s="44"/>
      <c r="T4778" s="44"/>
      <c r="U4778" s="44"/>
      <c r="V4778" s="44"/>
      <c r="W4778" s="44"/>
      <c r="X4778" s="44"/>
      <c r="Y4778" s="44"/>
    </row>
    <row r="4779" spans="14:25" ht="15" customHeight="1" x14ac:dyDescent="0.25">
      <c r="N4779" s="44"/>
      <c r="O4779" s="44"/>
      <c r="P4779" s="44"/>
      <c r="Q4779" s="44"/>
      <c r="R4779" s="44"/>
      <c r="S4779" s="44"/>
      <c r="T4779" s="44"/>
      <c r="U4779" s="44"/>
      <c r="V4779" s="44"/>
      <c r="W4779" s="44"/>
      <c r="X4779" s="44"/>
      <c r="Y4779" s="44"/>
    </row>
    <row r="4780" spans="14:25" ht="15" customHeight="1" x14ac:dyDescent="0.25">
      <c r="N4780" s="44"/>
      <c r="O4780" s="44"/>
      <c r="P4780" s="44"/>
      <c r="Q4780" s="44"/>
      <c r="R4780" s="44"/>
      <c r="S4780" s="44"/>
      <c r="T4780" s="44"/>
      <c r="U4780" s="44"/>
      <c r="V4780" s="44"/>
      <c r="W4780" s="44"/>
      <c r="X4780" s="44"/>
      <c r="Y4780" s="44"/>
    </row>
    <row r="4781" spans="14:25" ht="15" customHeight="1" x14ac:dyDescent="0.25">
      <c r="N4781" s="44"/>
      <c r="O4781" s="44"/>
      <c r="P4781" s="44"/>
      <c r="Q4781" s="44"/>
      <c r="R4781" s="44"/>
      <c r="S4781" s="44"/>
      <c r="T4781" s="44"/>
      <c r="U4781" s="44"/>
      <c r="V4781" s="44"/>
      <c r="W4781" s="44"/>
      <c r="X4781" s="44"/>
      <c r="Y4781" s="44"/>
    </row>
    <row r="4782" spans="14:25" ht="15" customHeight="1" x14ac:dyDescent="0.25">
      <c r="N4782" s="44"/>
      <c r="O4782" s="44"/>
      <c r="P4782" s="44"/>
      <c r="Q4782" s="44"/>
      <c r="R4782" s="44"/>
      <c r="S4782" s="44"/>
      <c r="T4782" s="44"/>
      <c r="U4782" s="44"/>
      <c r="V4782" s="44"/>
      <c r="W4782" s="44"/>
      <c r="X4782" s="44"/>
      <c r="Y4782" s="44"/>
    </row>
    <row r="4783" spans="14:25" ht="15" customHeight="1" x14ac:dyDescent="0.25">
      <c r="N4783" s="44"/>
      <c r="O4783" s="44"/>
      <c r="P4783" s="44"/>
      <c r="Q4783" s="44"/>
      <c r="R4783" s="44"/>
      <c r="S4783" s="44"/>
      <c r="T4783" s="44"/>
      <c r="U4783" s="44"/>
      <c r="V4783" s="44"/>
      <c r="W4783" s="44"/>
      <c r="X4783" s="44"/>
      <c r="Y4783" s="44"/>
    </row>
    <row r="4784" spans="14:25" ht="15" customHeight="1" x14ac:dyDescent="0.25">
      <c r="N4784" s="44"/>
      <c r="O4784" s="44"/>
      <c r="P4784" s="44"/>
      <c r="Q4784" s="44"/>
      <c r="R4784" s="44"/>
      <c r="S4784" s="44"/>
      <c r="T4784" s="44"/>
      <c r="U4784" s="44"/>
      <c r="V4784" s="44"/>
      <c r="W4784" s="44"/>
      <c r="X4784" s="44"/>
      <c r="Y4784" s="44"/>
    </row>
    <row r="4785" spans="14:25" ht="15" customHeight="1" x14ac:dyDescent="0.25">
      <c r="N4785" s="44"/>
      <c r="O4785" s="44"/>
      <c r="P4785" s="44"/>
      <c r="Q4785" s="44"/>
      <c r="R4785" s="44"/>
      <c r="S4785" s="44"/>
      <c r="T4785" s="44"/>
      <c r="U4785" s="44"/>
      <c r="V4785" s="44"/>
      <c r="W4785" s="44"/>
      <c r="X4785" s="44"/>
      <c r="Y4785" s="44"/>
    </row>
    <row r="4786" spans="14:25" ht="15" customHeight="1" x14ac:dyDescent="0.25">
      <c r="N4786" s="44"/>
      <c r="O4786" s="44"/>
      <c r="P4786" s="44"/>
      <c r="Q4786" s="44"/>
      <c r="R4786" s="44"/>
      <c r="S4786" s="44"/>
      <c r="T4786" s="44"/>
      <c r="U4786" s="44"/>
      <c r="V4786" s="44"/>
      <c r="W4786" s="44"/>
      <c r="X4786" s="44"/>
      <c r="Y4786" s="44"/>
    </row>
    <row r="4787" spans="14:25" ht="15" customHeight="1" x14ac:dyDescent="0.25">
      <c r="N4787" s="44"/>
      <c r="O4787" s="44"/>
      <c r="P4787" s="44"/>
      <c r="Q4787" s="44"/>
      <c r="R4787" s="44"/>
      <c r="S4787" s="44"/>
      <c r="T4787" s="44"/>
      <c r="U4787" s="44"/>
      <c r="V4787" s="44"/>
      <c r="W4787" s="44"/>
      <c r="X4787" s="44"/>
      <c r="Y4787" s="44"/>
    </row>
    <row r="4788" spans="14:25" ht="15" customHeight="1" x14ac:dyDescent="0.25">
      <c r="N4788" s="44"/>
      <c r="O4788" s="44"/>
      <c r="P4788" s="44"/>
      <c r="Q4788" s="44"/>
      <c r="R4788" s="44"/>
      <c r="S4788" s="44"/>
      <c r="T4788" s="44"/>
      <c r="U4788" s="44"/>
      <c r="V4788" s="44"/>
      <c r="W4788" s="44"/>
      <c r="X4788" s="44"/>
      <c r="Y4788" s="44"/>
    </row>
    <row r="4789" spans="14:25" ht="15" customHeight="1" x14ac:dyDescent="0.25">
      <c r="N4789" s="44"/>
      <c r="O4789" s="44"/>
      <c r="P4789" s="44"/>
      <c r="Q4789" s="44"/>
      <c r="R4789" s="44"/>
      <c r="S4789" s="44"/>
      <c r="T4789" s="44"/>
      <c r="U4789" s="44"/>
      <c r="V4789" s="44"/>
      <c r="W4789" s="44"/>
      <c r="X4789" s="44"/>
      <c r="Y4789" s="44"/>
    </row>
    <row r="4790" spans="14:25" ht="15" customHeight="1" x14ac:dyDescent="0.25">
      <c r="N4790" s="44"/>
      <c r="O4790" s="44"/>
      <c r="P4790" s="44"/>
      <c r="Q4790" s="44"/>
      <c r="R4790" s="44"/>
      <c r="S4790" s="44"/>
      <c r="T4790" s="44"/>
      <c r="U4790" s="44"/>
      <c r="V4790" s="44"/>
      <c r="W4790" s="44"/>
      <c r="X4790" s="44"/>
      <c r="Y4790" s="44"/>
    </row>
    <row r="4791" spans="14:25" ht="15" customHeight="1" x14ac:dyDescent="0.25">
      <c r="N4791" s="44"/>
      <c r="O4791" s="44"/>
      <c r="P4791" s="44"/>
      <c r="Q4791" s="44"/>
      <c r="R4791" s="44"/>
      <c r="S4791" s="44"/>
      <c r="T4791" s="44"/>
      <c r="U4791" s="44"/>
      <c r="V4791" s="44"/>
      <c r="W4791" s="44"/>
      <c r="X4791" s="44"/>
      <c r="Y4791" s="44"/>
    </row>
    <row r="4792" spans="14:25" ht="15" customHeight="1" x14ac:dyDescent="0.25">
      <c r="N4792" s="44"/>
      <c r="O4792" s="44"/>
      <c r="P4792" s="44"/>
      <c r="Q4792" s="44"/>
      <c r="R4792" s="44"/>
      <c r="S4792" s="44"/>
      <c r="T4792" s="44"/>
      <c r="U4792" s="44"/>
      <c r="V4792" s="44"/>
      <c r="W4792" s="44"/>
      <c r="X4792" s="44"/>
      <c r="Y4792" s="44"/>
    </row>
    <row r="4793" spans="14:25" ht="15" customHeight="1" x14ac:dyDescent="0.25">
      <c r="N4793" s="44"/>
      <c r="O4793" s="44"/>
      <c r="P4793" s="44"/>
      <c r="Q4793" s="44"/>
      <c r="R4793" s="44"/>
      <c r="S4793" s="44"/>
      <c r="T4793" s="44"/>
      <c r="U4793" s="44"/>
      <c r="V4793" s="44"/>
      <c r="W4793" s="44"/>
      <c r="X4793" s="44"/>
      <c r="Y4793" s="44"/>
    </row>
    <row r="4794" spans="14:25" ht="15" customHeight="1" x14ac:dyDescent="0.25">
      <c r="N4794" s="44"/>
      <c r="O4794" s="44"/>
      <c r="P4794" s="44"/>
      <c r="Q4794" s="44"/>
      <c r="R4794" s="44"/>
      <c r="S4794" s="44"/>
      <c r="T4794" s="44"/>
      <c r="U4794" s="44"/>
      <c r="V4794" s="44"/>
      <c r="W4794" s="44"/>
      <c r="X4794" s="44"/>
      <c r="Y4794" s="44"/>
    </row>
    <row r="4795" spans="14:25" ht="15" customHeight="1" x14ac:dyDescent="0.25">
      <c r="N4795" s="44"/>
      <c r="O4795" s="44"/>
      <c r="P4795" s="44"/>
      <c r="Q4795" s="44"/>
      <c r="R4795" s="44"/>
      <c r="S4795" s="44"/>
      <c r="T4795" s="44"/>
      <c r="U4795" s="44"/>
      <c r="V4795" s="44"/>
      <c r="W4795" s="44"/>
      <c r="X4795" s="44"/>
      <c r="Y4795" s="44"/>
    </row>
    <row r="4796" spans="14:25" ht="15" customHeight="1" x14ac:dyDescent="0.25">
      <c r="N4796" s="44"/>
      <c r="O4796" s="44"/>
      <c r="P4796" s="44"/>
      <c r="Q4796" s="44"/>
      <c r="R4796" s="44"/>
      <c r="S4796" s="44"/>
      <c r="T4796" s="44"/>
      <c r="U4796" s="44"/>
      <c r="V4796" s="44"/>
      <c r="W4796" s="44"/>
      <c r="X4796" s="44"/>
      <c r="Y4796" s="44"/>
    </row>
    <row r="4797" spans="14:25" ht="15" customHeight="1" x14ac:dyDescent="0.25">
      <c r="N4797" s="44"/>
      <c r="O4797" s="44"/>
      <c r="P4797" s="44"/>
      <c r="Q4797" s="44"/>
      <c r="R4797" s="44"/>
      <c r="S4797" s="44"/>
      <c r="T4797" s="44"/>
      <c r="U4797" s="44"/>
      <c r="V4797" s="44"/>
      <c r="W4797" s="44"/>
      <c r="X4797" s="44"/>
      <c r="Y4797" s="44"/>
    </row>
    <row r="4798" spans="14:25" ht="15" customHeight="1" x14ac:dyDescent="0.25">
      <c r="N4798" s="44"/>
      <c r="O4798" s="44"/>
      <c r="P4798" s="44"/>
      <c r="Q4798" s="44"/>
      <c r="R4798" s="44"/>
      <c r="S4798" s="44"/>
      <c r="T4798" s="44"/>
      <c r="U4798" s="44"/>
      <c r="V4798" s="44"/>
      <c r="W4798" s="44"/>
      <c r="X4798" s="44"/>
      <c r="Y4798" s="44"/>
    </row>
    <row r="4799" spans="14:25" ht="15" customHeight="1" x14ac:dyDescent="0.25">
      <c r="N4799" s="44"/>
      <c r="O4799" s="44"/>
      <c r="P4799" s="44"/>
      <c r="Q4799" s="44"/>
      <c r="R4799" s="44"/>
      <c r="S4799" s="44"/>
      <c r="T4799" s="44"/>
      <c r="U4799" s="44"/>
      <c r="V4799" s="44"/>
      <c r="W4799" s="44"/>
      <c r="X4799" s="44"/>
      <c r="Y4799" s="44"/>
    </row>
    <row r="4800" spans="14:25" ht="15" customHeight="1" x14ac:dyDescent="0.25">
      <c r="N4800" s="44"/>
      <c r="O4800" s="44"/>
      <c r="P4800" s="44"/>
      <c r="Q4800" s="44"/>
      <c r="R4800" s="44"/>
      <c r="S4800" s="44"/>
      <c r="T4800" s="44"/>
      <c r="U4800" s="44"/>
      <c r="V4800" s="44"/>
      <c r="W4800" s="44"/>
      <c r="X4800" s="44"/>
      <c r="Y4800" s="44"/>
    </row>
    <row r="4801" spans="14:25" ht="15" customHeight="1" x14ac:dyDescent="0.25">
      <c r="N4801" s="44"/>
      <c r="O4801" s="44"/>
      <c r="P4801" s="44"/>
      <c r="Q4801" s="44"/>
      <c r="R4801" s="44"/>
      <c r="S4801" s="44"/>
      <c r="T4801" s="44"/>
      <c r="U4801" s="44"/>
      <c r="V4801" s="44"/>
      <c r="W4801" s="44"/>
      <c r="X4801" s="44"/>
      <c r="Y4801" s="44"/>
    </row>
    <row r="4802" spans="14:25" ht="15" customHeight="1" x14ac:dyDescent="0.25">
      <c r="N4802" s="44"/>
      <c r="O4802" s="44"/>
      <c r="P4802" s="44"/>
      <c r="Q4802" s="44"/>
      <c r="R4802" s="44"/>
      <c r="S4802" s="44"/>
      <c r="T4802" s="44"/>
      <c r="U4802" s="44"/>
      <c r="V4802" s="44"/>
      <c r="W4802" s="44"/>
      <c r="X4802" s="44"/>
      <c r="Y4802" s="44"/>
    </row>
    <row r="4803" spans="14:25" ht="15" customHeight="1" x14ac:dyDescent="0.25">
      <c r="N4803" s="44"/>
      <c r="O4803" s="44"/>
      <c r="P4803" s="44"/>
      <c r="Q4803" s="44"/>
      <c r="R4803" s="44"/>
      <c r="S4803" s="44"/>
      <c r="T4803" s="44"/>
      <c r="U4803" s="44"/>
      <c r="V4803" s="44"/>
      <c r="W4803" s="44"/>
      <c r="X4803" s="44"/>
      <c r="Y4803" s="44"/>
    </row>
    <row r="4804" spans="14:25" ht="15" customHeight="1" x14ac:dyDescent="0.25">
      <c r="N4804" s="44"/>
      <c r="O4804" s="44"/>
      <c r="P4804" s="44"/>
      <c r="Q4804" s="44"/>
      <c r="R4804" s="44"/>
      <c r="S4804" s="44"/>
      <c r="T4804" s="44"/>
      <c r="U4804" s="44"/>
      <c r="V4804" s="44"/>
      <c r="W4804" s="44"/>
      <c r="X4804" s="44"/>
      <c r="Y4804" s="44"/>
    </row>
    <row r="4805" spans="14:25" ht="15" customHeight="1" x14ac:dyDescent="0.25">
      <c r="N4805" s="44"/>
      <c r="O4805" s="44"/>
      <c r="P4805" s="44"/>
      <c r="Q4805" s="44"/>
      <c r="R4805" s="44"/>
      <c r="S4805" s="44"/>
      <c r="T4805" s="44"/>
      <c r="U4805" s="44"/>
      <c r="V4805" s="44"/>
      <c r="W4805" s="44"/>
      <c r="X4805" s="44"/>
      <c r="Y4805" s="44"/>
    </row>
    <row r="4806" spans="14:25" ht="15" customHeight="1" x14ac:dyDescent="0.25">
      <c r="N4806" s="44"/>
      <c r="O4806" s="44"/>
      <c r="P4806" s="44"/>
      <c r="Q4806" s="44"/>
      <c r="R4806" s="44"/>
      <c r="S4806" s="44"/>
      <c r="T4806" s="44"/>
      <c r="U4806" s="44"/>
      <c r="V4806" s="44"/>
      <c r="W4806" s="44"/>
      <c r="X4806" s="44"/>
      <c r="Y4806" s="44"/>
    </row>
    <row r="4807" spans="14:25" ht="15" customHeight="1" x14ac:dyDescent="0.25">
      <c r="N4807" s="44"/>
      <c r="O4807" s="44"/>
      <c r="P4807" s="44"/>
      <c r="Q4807" s="44"/>
      <c r="R4807" s="44"/>
      <c r="S4807" s="44"/>
      <c r="T4807" s="44"/>
      <c r="U4807" s="44"/>
      <c r="V4807" s="44"/>
      <c r="W4807" s="44"/>
      <c r="X4807" s="44"/>
      <c r="Y4807" s="44"/>
    </row>
    <row r="4808" spans="14:25" ht="15" customHeight="1" x14ac:dyDescent="0.25">
      <c r="N4808" s="44"/>
      <c r="O4808" s="44"/>
      <c r="P4808" s="44"/>
      <c r="Q4808" s="44"/>
      <c r="R4808" s="44"/>
      <c r="S4808" s="44"/>
      <c r="T4808" s="44"/>
      <c r="U4808" s="44"/>
      <c r="V4808" s="44"/>
      <c r="W4808" s="44"/>
      <c r="X4808" s="44"/>
      <c r="Y4808" s="44"/>
    </row>
    <row r="4809" spans="14:25" ht="15" customHeight="1" x14ac:dyDescent="0.25">
      <c r="N4809" s="44"/>
      <c r="O4809" s="44"/>
      <c r="P4809" s="44"/>
      <c r="Q4809" s="44"/>
      <c r="R4809" s="44"/>
      <c r="S4809" s="44"/>
      <c r="T4809" s="44"/>
      <c r="U4809" s="44"/>
      <c r="V4809" s="44"/>
      <c r="W4809" s="44"/>
      <c r="X4809" s="44"/>
      <c r="Y4809" s="44"/>
    </row>
    <row r="4810" spans="14:25" ht="15" customHeight="1" x14ac:dyDescent="0.25">
      <c r="N4810" s="44"/>
      <c r="O4810" s="44"/>
      <c r="P4810" s="44"/>
      <c r="Q4810" s="44"/>
      <c r="R4810" s="44"/>
      <c r="S4810" s="44"/>
      <c r="T4810" s="44"/>
      <c r="U4810" s="44"/>
      <c r="V4810" s="44"/>
      <c r="W4810" s="44"/>
      <c r="X4810" s="44"/>
      <c r="Y4810" s="44"/>
    </row>
    <row r="4811" spans="14:25" ht="15" customHeight="1" x14ac:dyDescent="0.25">
      <c r="N4811" s="44"/>
      <c r="O4811" s="44"/>
      <c r="P4811" s="44"/>
      <c r="Q4811" s="44"/>
      <c r="R4811" s="44"/>
      <c r="S4811" s="44"/>
      <c r="T4811" s="44"/>
      <c r="U4811" s="44"/>
      <c r="V4811" s="44"/>
      <c r="W4811" s="44"/>
      <c r="X4811" s="44"/>
      <c r="Y4811" s="44"/>
    </row>
    <row r="4812" spans="14:25" ht="15" customHeight="1" x14ac:dyDescent="0.25">
      <c r="N4812" s="44"/>
      <c r="O4812" s="44"/>
      <c r="P4812" s="44"/>
      <c r="Q4812" s="44"/>
      <c r="R4812" s="44"/>
      <c r="S4812" s="44"/>
      <c r="T4812" s="44"/>
      <c r="U4812" s="44"/>
      <c r="V4812" s="44"/>
      <c r="W4812" s="44"/>
      <c r="X4812" s="44"/>
      <c r="Y4812" s="44"/>
    </row>
    <row r="4813" spans="14:25" ht="15" customHeight="1" x14ac:dyDescent="0.25">
      <c r="N4813" s="44"/>
      <c r="O4813" s="44"/>
      <c r="P4813" s="44"/>
      <c r="Q4813" s="44"/>
      <c r="R4813" s="44"/>
      <c r="S4813" s="44"/>
      <c r="T4813" s="44"/>
      <c r="U4813" s="44"/>
      <c r="V4813" s="44"/>
      <c r="W4813" s="44"/>
      <c r="X4813" s="44"/>
      <c r="Y4813" s="44"/>
    </row>
    <row r="4814" spans="14:25" ht="15" customHeight="1" x14ac:dyDescent="0.25">
      <c r="N4814" s="44"/>
      <c r="O4814" s="44"/>
      <c r="P4814" s="44"/>
      <c r="Q4814" s="44"/>
      <c r="R4814" s="44"/>
      <c r="S4814" s="44"/>
      <c r="T4814" s="44"/>
      <c r="U4814" s="44"/>
      <c r="V4814" s="44"/>
      <c r="W4814" s="44"/>
      <c r="X4814" s="44"/>
      <c r="Y4814" s="44"/>
    </row>
    <row r="4815" spans="14:25" ht="15" customHeight="1" x14ac:dyDescent="0.25">
      <c r="N4815" s="44"/>
      <c r="O4815" s="44"/>
      <c r="P4815" s="44"/>
      <c r="Q4815" s="44"/>
      <c r="R4815" s="44"/>
      <c r="S4815" s="44"/>
      <c r="T4815" s="44"/>
      <c r="U4815" s="44"/>
      <c r="V4815" s="44"/>
      <c r="W4815" s="44"/>
      <c r="X4815" s="44"/>
      <c r="Y4815" s="44"/>
    </row>
    <row r="4816" spans="14:25" ht="15" customHeight="1" x14ac:dyDescent="0.25">
      <c r="N4816" s="44"/>
      <c r="O4816" s="44"/>
      <c r="P4816" s="44"/>
      <c r="Q4816" s="44"/>
      <c r="R4816" s="44"/>
      <c r="S4816" s="44"/>
      <c r="T4816" s="44"/>
      <c r="U4816" s="44"/>
      <c r="V4816" s="44"/>
      <c r="W4816" s="44"/>
      <c r="X4816" s="44"/>
      <c r="Y4816" s="44"/>
    </row>
    <row r="4817" spans="14:25" ht="15" customHeight="1" x14ac:dyDescent="0.25">
      <c r="N4817" s="44"/>
      <c r="O4817" s="44"/>
      <c r="P4817" s="44"/>
      <c r="Q4817" s="44"/>
      <c r="R4817" s="44"/>
      <c r="S4817" s="44"/>
      <c r="T4817" s="44"/>
      <c r="U4817" s="44"/>
      <c r="V4817" s="44"/>
      <c r="W4817" s="44"/>
      <c r="X4817" s="44"/>
      <c r="Y4817" s="44"/>
    </row>
    <row r="4818" spans="14:25" ht="15" customHeight="1" x14ac:dyDescent="0.25">
      <c r="N4818" s="44"/>
      <c r="O4818" s="44"/>
      <c r="P4818" s="44"/>
      <c r="Q4818" s="44"/>
      <c r="R4818" s="44"/>
      <c r="S4818" s="44"/>
      <c r="T4818" s="44"/>
      <c r="U4818" s="44"/>
      <c r="V4818" s="44"/>
      <c r="W4818" s="44"/>
      <c r="X4818" s="44"/>
      <c r="Y4818" s="44"/>
    </row>
    <row r="4819" spans="14:25" ht="15" customHeight="1" x14ac:dyDescent="0.25">
      <c r="N4819" s="44"/>
      <c r="O4819" s="44"/>
      <c r="P4819" s="44"/>
      <c r="Q4819" s="44"/>
      <c r="R4819" s="44"/>
      <c r="S4819" s="44"/>
      <c r="T4819" s="44"/>
      <c r="U4819" s="44"/>
      <c r="V4819" s="44"/>
      <c r="W4819" s="44"/>
      <c r="X4819" s="44"/>
      <c r="Y4819" s="44"/>
    </row>
    <row r="4820" spans="14:25" ht="15" customHeight="1" x14ac:dyDescent="0.25">
      <c r="N4820" s="44"/>
      <c r="O4820" s="44"/>
      <c r="P4820" s="44"/>
      <c r="Q4820" s="44"/>
      <c r="R4820" s="44"/>
      <c r="S4820" s="44"/>
      <c r="T4820" s="44"/>
      <c r="U4820" s="44"/>
      <c r="V4820" s="44"/>
      <c r="W4820" s="44"/>
      <c r="X4820" s="44"/>
      <c r="Y4820" s="44"/>
    </row>
    <row r="4821" spans="14:25" ht="15" customHeight="1" x14ac:dyDescent="0.25">
      <c r="N4821" s="44"/>
      <c r="O4821" s="44"/>
      <c r="P4821" s="44"/>
      <c r="Q4821" s="44"/>
      <c r="R4821" s="44"/>
      <c r="S4821" s="44"/>
      <c r="T4821" s="44"/>
      <c r="U4821" s="44"/>
      <c r="V4821" s="44"/>
      <c r="W4821" s="44"/>
      <c r="X4821" s="44"/>
      <c r="Y4821" s="44"/>
    </row>
    <row r="4822" spans="14:25" ht="15" customHeight="1" x14ac:dyDescent="0.25">
      <c r="N4822" s="44"/>
      <c r="O4822" s="44"/>
      <c r="P4822" s="44"/>
      <c r="Q4822" s="44"/>
      <c r="R4822" s="44"/>
      <c r="S4822" s="44"/>
      <c r="T4822" s="44"/>
      <c r="U4822" s="44"/>
      <c r="V4822" s="44"/>
      <c r="W4822" s="44"/>
      <c r="X4822" s="44"/>
      <c r="Y4822" s="44"/>
    </row>
    <row r="4823" spans="14:25" ht="15" customHeight="1" x14ac:dyDescent="0.25">
      <c r="N4823" s="44"/>
      <c r="O4823" s="44"/>
      <c r="P4823" s="44"/>
      <c r="Q4823" s="44"/>
      <c r="R4823" s="44"/>
      <c r="S4823" s="44"/>
      <c r="T4823" s="44"/>
      <c r="U4823" s="44"/>
      <c r="V4823" s="44"/>
      <c r="W4823" s="44"/>
      <c r="X4823" s="44"/>
      <c r="Y4823" s="44"/>
    </row>
    <row r="4824" spans="14:25" ht="15" customHeight="1" x14ac:dyDescent="0.25">
      <c r="N4824" s="44"/>
      <c r="O4824" s="44"/>
      <c r="P4824" s="44"/>
      <c r="Q4824" s="44"/>
      <c r="R4824" s="44"/>
      <c r="S4824" s="44"/>
      <c r="T4824" s="44"/>
      <c r="U4824" s="44"/>
      <c r="V4824" s="44"/>
      <c r="W4824" s="44"/>
      <c r="X4824" s="44"/>
      <c r="Y4824" s="44"/>
    </row>
    <row r="4825" spans="14:25" ht="15" customHeight="1" x14ac:dyDescent="0.25">
      <c r="N4825" s="44"/>
      <c r="O4825" s="44"/>
      <c r="P4825" s="44"/>
      <c r="Q4825" s="44"/>
      <c r="R4825" s="44"/>
      <c r="S4825" s="44"/>
      <c r="T4825" s="44"/>
      <c r="U4825" s="44"/>
      <c r="V4825" s="44"/>
      <c r="W4825" s="44"/>
      <c r="X4825" s="44"/>
      <c r="Y4825" s="44"/>
    </row>
    <row r="4826" spans="14:25" ht="15" customHeight="1" x14ac:dyDescent="0.25">
      <c r="N4826" s="44"/>
      <c r="O4826" s="44"/>
      <c r="P4826" s="44"/>
      <c r="Q4826" s="44"/>
      <c r="R4826" s="44"/>
      <c r="S4826" s="44"/>
      <c r="T4826" s="44"/>
      <c r="U4826" s="44"/>
      <c r="V4826" s="44"/>
      <c r="W4826" s="44"/>
      <c r="X4826" s="44"/>
      <c r="Y4826" s="44"/>
    </row>
    <row r="4827" spans="14:25" ht="15" customHeight="1" x14ac:dyDescent="0.25">
      <c r="N4827" s="44"/>
      <c r="O4827" s="44"/>
      <c r="P4827" s="44"/>
      <c r="Q4827" s="44"/>
      <c r="R4827" s="44"/>
      <c r="S4827" s="44"/>
      <c r="T4827" s="44"/>
      <c r="U4827" s="44"/>
      <c r="V4827" s="44"/>
      <c r="W4827" s="44"/>
      <c r="X4827" s="44"/>
      <c r="Y4827" s="44"/>
    </row>
    <row r="4828" spans="14:25" ht="15" customHeight="1" x14ac:dyDescent="0.25">
      <c r="N4828" s="44"/>
      <c r="O4828" s="44"/>
      <c r="P4828" s="44"/>
      <c r="Q4828" s="44"/>
      <c r="R4828" s="44"/>
      <c r="S4828" s="44"/>
      <c r="T4828" s="44"/>
      <c r="U4828" s="44"/>
      <c r="V4828" s="44"/>
      <c r="W4828" s="44"/>
      <c r="X4828" s="44"/>
      <c r="Y4828" s="44"/>
    </row>
    <row r="4829" spans="14:25" ht="15" customHeight="1" x14ac:dyDescent="0.25">
      <c r="N4829" s="44"/>
      <c r="O4829" s="44"/>
      <c r="P4829" s="44"/>
      <c r="Q4829" s="44"/>
      <c r="R4829" s="44"/>
      <c r="S4829" s="44"/>
      <c r="T4829" s="44"/>
      <c r="U4829" s="44"/>
      <c r="V4829" s="44"/>
      <c r="W4829" s="44"/>
      <c r="X4829" s="44"/>
      <c r="Y4829" s="44"/>
    </row>
    <row r="4830" spans="14:25" ht="15" customHeight="1" x14ac:dyDescent="0.25">
      <c r="N4830" s="44"/>
      <c r="O4830" s="44"/>
      <c r="P4830" s="44"/>
      <c r="Q4830" s="44"/>
      <c r="R4830" s="44"/>
      <c r="S4830" s="44"/>
      <c r="T4830" s="44"/>
      <c r="U4830" s="44"/>
      <c r="V4830" s="44"/>
      <c r="W4830" s="44"/>
      <c r="X4830" s="44"/>
      <c r="Y4830" s="44"/>
    </row>
    <row r="4831" spans="14:25" ht="15" customHeight="1" x14ac:dyDescent="0.25">
      <c r="N4831" s="44"/>
      <c r="O4831" s="44"/>
      <c r="P4831" s="44"/>
      <c r="Q4831" s="44"/>
      <c r="R4831" s="44"/>
      <c r="S4831" s="44"/>
      <c r="T4831" s="44"/>
      <c r="U4831" s="44"/>
      <c r="V4831" s="44"/>
      <c r="W4831" s="44"/>
      <c r="X4831" s="44"/>
      <c r="Y4831" s="44"/>
    </row>
    <row r="4832" spans="14:25" ht="15" customHeight="1" x14ac:dyDescent="0.25">
      <c r="N4832" s="44"/>
      <c r="O4832" s="44"/>
      <c r="P4832" s="44"/>
      <c r="Q4832" s="44"/>
      <c r="R4832" s="44"/>
      <c r="S4832" s="44"/>
      <c r="T4832" s="44"/>
      <c r="U4832" s="44"/>
      <c r="V4832" s="44"/>
      <c r="W4832" s="44"/>
      <c r="X4832" s="44"/>
      <c r="Y4832" s="44"/>
    </row>
    <row r="4833" spans="14:25" ht="15" customHeight="1" x14ac:dyDescent="0.25">
      <c r="N4833" s="44"/>
      <c r="O4833" s="44"/>
      <c r="P4833" s="44"/>
      <c r="Q4833" s="44"/>
      <c r="R4833" s="44"/>
      <c r="S4833" s="44"/>
      <c r="T4833" s="44"/>
      <c r="U4833" s="44"/>
      <c r="V4833" s="44"/>
      <c r="W4833" s="44"/>
      <c r="X4833" s="44"/>
      <c r="Y4833" s="44"/>
    </row>
    <row r="4834" spans="14:25" ht="15" customHeight="1" x14ac:dyDescent="0.25">
      <c r="N4834" s="44"/>
      <c r="O4834" s="44"/>
      <c r="P4834" s="44"/>
      <c r="Q4834" s="44"/>
      <c r="R4834" s="44"/>
      <c r="S4834" s="44"/>
      <c r="T4834" s="44"/>
      <c r="U4834" s="44"/>
      <c r="V4834" s="44"/>
      <c r="W4834" s="44"/>
      <c r="X4834" s="44"/>
      <c r="Y4834" s="44"/>
    </row>
    <row r="4835" spans="14:25" ht="15" customHeight="1" x14ac:dyDescent="0.25">
      <c r="N4835" s="44"/>
      <c r="O4835" s="44"/>
      <c r="P4835" s="44"/>
      <c r="Q4835" s="44"/>
      <c r="R4835" s="44"/>
      <c r="S4835" s="44"/>
      <c r="T4835" s="44"/>
      <c r="U4835" s="44"/>
      <c r="V4835" s="44"/>
      <c r="W4835" s="44"/>
      <c r="X4835" s="44"/>
      <c r="Y4835" s="44"/>
    </row>
    <row r="4836" spans="14:25" ht="15" customHeight="1" x14ac:dyDescent="0.25">
      <c r="N4836" s="44"/>
      <c r="O4836" s="44"/>
      <c r="P4836" s="44"/>
      <c r="Q4836" s="44"/>
      <c r="R4836" s="44"/>
      <c r="S4836" s="44"/>
      <c r="T4836" s="44"/>
      <c r="U4836" s="44"/>
      <c r="V4836" s="44"/>
      <c r="W4836" s="44"/>
      <c r="X4836" s="44"/>
      <c r="Y4836" s="44"/>
    </row>
    <row r="4837" spans="14:25" ht="15" customHeight="1" x14ac:dyDescent="0.25">
      <c r="N4837" s="44"/>
      <c r="O4837" s="44"/>
      <c r="P4837" s="44"/>
      <c r="Q4837" s="44"/>
      <c r="R4837" s="44"/>
      <c r="S4837" s="44"/>
      <c r="T4837" s="44"/>
      <c r="U4837" s="44"/>
      <c r="V4837" s="44"/>
      <c r="W4837" s="44"/>
      <c r="X4837" s="44"/>
      <c r="Y4837" s="44"/>
    </row>
    <row r="4838" spans="14:25" ht="15" customHeight="1" x14ac:dyDescent="0.25">
      <c r="N4838" s="44"/>
      <c r="O4838" s="44"/>
      <c r="P4838" s="44"/>
      <c r="Q4838" s="44"/>
      <c r="R4838" s="44"/>
      <c r="S4838" s="44"/>
      <c r="T4838" s="44"/>
      <c r="U4838" s="44"/>
      <c r="V4838" s="44"/>
      <c r="W4838" s="44"/>
      <c r="X4838" s="44"/>
      <c r="Y4838" s="44"/>
    </row>
    <row r="4839" spans="14:25" ht="15" customHeight="1" x14ac:dyDescent="0.25">
      <c r="N4839" s="44"/>
      <c r="O4839" s="44"/>
      <c r="P4839" s="44"/>
      <c r="Q4839" s="44"/>
      <c r="R4839" s="44"/>
      <c r="S4839" s="44"/>
      <c r="T4839" s="44"/>
      <c r="U4839" s="44"/>
      <c r="V4839" s="44"/>
      <c r="W4839" s="44"/>
      <c r="X4839" s="44"/>
      <c r="Y4839" s="44"/>
    </row>
    <row r="4840" spans="14:25" ht="15" customHeight="1" x14ac:dyDescent="0.25">
      <c r="N4840" s="44"/>
      <c r="O4840" s="44"/>
      <c r="P4840" s="44"/>
      <c r="Q4840" s="44"/>
      <c r="R4840" s="44"/>
      <c r="S4840" s="44"/>
      <c r="T4840" s="44"/>
      <c r="U4840" s="44"/>
      <c r="V4840" s="44"/>
      <c r="W4840" s="44"/>
      <c r="X4840" s="44"/>
      <c r="Y4840" s="44"/>
    </row>
    <row r="4841" spans="14:25" ht="15" customHeight="1" x14ac:dyDescent="0.25">
      <c r="N4841" s="44"/>
      <c r="O4841" s="44"/>
      <c r="P4841" s="44"/>
      <c r="Q4841" s="44"/>
      <c r="R4841" s="44"/>
      <c r="S4841" s="44"/>
      <c r="T4841" s="44"/>
      <c r="U4841" s="44"/>
      <c r="V4841" s="44"/>
      <c r="W4841" s="44"/>
      <c r="X4841" s="44"/>
      <c r="Y4841" s="44"/>
    </row>
    <row r="4842" spans="14:25" ht="15" customHeight="1" x14ac:dyDescent="0.25">
      <c r="N4842" s="44"/>
      <c r="O4842" s="44"/>
      <c r="P4842" s="44"/>
      <c r="Q4842" s="44"/>
      <c r="R4842" s="44"/>
      <c r="S4842" s="44"/>
      <c r="T4842" s="44"/>
      <c r="U4842" s="44"/>
      <c r="V4842" s="44"/>
      <c r="W4842" s="44"/>
      <c r="X4842" s="44"/>
      <c r="Y4842" s="44"/>
    </row>
    <row r="4843" spans="14:25" ht="15" customHeight="1" x14ac:dyDescent="0.25">
      <c r="N4843" s="44"/>
      <c r="O4843" s="44"/>
      <c r="P4843" s="44"/>
      <c r="Q4843" s="44"/>
      <c r="R4843" s="44"/>
      <c r="S4843" s="44"/>
      <c r="T4843" s="44"/>
      <c r="U4843" s="44"/>
      <c r="V4843" s="44"/>
      <c r="W4843" s="44"/>
      <c r="X4843" s="44"/>
      <c r="Y4843" s="44"/>
    </row>
    <row r="4844" spans="14:25" ht="15" customHeight="1" x14ac:dyDescent="0.25">
      <c r="N4844" s="44"/>
      <c r="O4844" s="44"/>
      <c r="P4844" s="44"/>
      <c r="Q4844" s="44"/>
      <c r="R4844" s="44"/>
      <c r="S4844" s="44"/>
      <c r="T4844" s="44"/>
      <c r="U4844" s="44"/>
      <c r="V4844" s="44"/>
      <c r="W4844" s="44"/>
      <c r="X4844" s="44"/>
      <c r="Y4844" s="44"/>
    </row>
    <row r="4845" spans="14:25" ht="15" customHeight="1" x14ac:dyDescent="0.25">
      <c r="N4845" s="44"/>
      <c r="O4845" s="44"/>
      <c r="P4845" s="44"/>
      <c r="Q4845" s="44"/>
      <c r="R4845" s="44"/>
      <c r="S4845" s="44"/>
      <c r="T4845" s="44"/>
      <c r="U4845" s="44"/>
      <c r="V4845" s="44"/>
      <c r="W4845" s="44"/>
      <c r="X4845" s="44"/>
      <c r="Y4845" s="44"/>
    </row>
    <row r="4846" spans="14:25" ht="15" customHeight="1" x14ac:dyDescent="0.25">
      <c r="N4846" s="44"/>
      <c r="O4846" s="44"/>
      <c r="P4846" s="44"/>
      <c r="Q4846" s="44"/>
      <c r="R4846" s="44"/>
      <c r="S4846" s="44"/>
      <c r="T4846" s="44"/>
      <c r="U4846" s="44"/>
      <c r="V4846" s="44"/>
      <c r="W4846" s="44"/>
      <c r="X4846" s="44"/>
      <c r="Y4846" s="44"/>
    </row>
    <row r="4847" spans="14:25" ht="15" customHeight="1" x14ac:dyDescent="0.25">
      <c r="N4847" s="44"/>
      <c r="O4847" s="44"/>
      <c r="P4847" s="44"/>
      <c r="Q4847" s="44"/>
      <c r="R4847" s="44"/>
      <c r="S4847" s="44"/>
      <c r="T4847" s="44"/>
      <c r="U4847" s="44"/>
      <c r="V4847" s="44"/>
      <c r="W4847" s="44"/>
      <c r="X4847" s="44"/>
      <c r="Y4847" s="44"/>
    </row>
    <row r="4848" spans="14:25" ht="15" customHeight="1" x14ac:dyDescent="0.25">
      <c r="N4848" s="44"/>
      <c r="O4848" s="44"/>
      <c r="P4848" s="44"/>
      <c r="Q4848" s="44"/>
      <c r="R4848" s="44"/>
      <c r="S4848" s="44"/>
      <c r="T4848" s="44"/>
      <c r="U4848" s="44"/>
      <c r="V4848" s="44"/>
      <c r="W4848" s="44"/>
      <c r="X4848" s="44"/>
      <c r="Y4848" s="44"/>
    </row>
    <row r="4849" spans="14:25" ht="15" customHeight="1" x14ac:dyDescent="0.25">
      <c r="N4849" s="44"/>
      <c r="O4849" s="44"/>
      <c r="P4849" s="44"/>
      <c r="Q4849" s="44"/>
      <c r="R4849" s="44"/>
      <c r="S4849" s="44"/>
      <c r="T4849" s="44"/>
      <c r="U4849" s="44"/>
      <c r="V4849" s="44"/>
      <c r="W4849" s="44"/>
      <c r="X4849" s="44"/>
      <c r="Y4849" s="44"/>
    </row>
    <row r="4850" spans="14:25" ht="15" customHeight="1" x14ac:dyDescent="0.25">
      <c r="N4850" s="44"/>
      <c r="O4850" s="44"/>
      <c r="P4850" s="44"/>
      <c r="Q4850" s="44"/>
      <c r="R4850" s="44"/>
      <c r="S4850" s="44"/>
      <c r="T4850" s="44"/>
      <c r="U4850" s="44"/>
      <c r="V4850" s="44"/>
      <c r="W4850" s="44"/>
      <c r="X4850" s="44"/>
      <c r="Y4850" s="44"/>
    </row>
    <row r="4851" spans="14:25" ht="15" customHeight="1" x14ac:dyDescent="0.25">
      <c r="N4851" s="44"/>
      <c r="O4851" s="44"/>
      <c r="P4851" s="44"/>
      <c r="Q4851" s="44"/>
      <c r="R4851" s="44"/>
      <c r="S4851" s="44"/>
      <c r="T4851" s="44"/>
      <c r="U4851" s="44"/>
      <c r="V4851" s="44"/>
      <c r="W4851" s="44"/>
      <c r="X4851" s="44"/>
      <c r="Y4851" s="44"/>
    </row>
    <row r="4852" spans="14:25" ht="15" customHeight="1" x14ac:dyDescent="0.25">
      <c r="N4852" s="44"/>
      <c r="O4852" s="44"/>
      <c r="P4852" s="44"/>
      <c r="Q4852" s="44"/>
      <c r="R4852" s="44"/>
      <c r="S4852" s="44"/>
      <c r="T4852" s="44"/>
      <c r="U4852" s="44"/>
      <c r="V4852" s="44"/>
      <c r="W4852" s="44"/>
      <c r="X4852" s="44"/>
      <c r="Y4852" s="44"/>
    </row>
    <row r="4853" spans="14:25" ht="15" customHeight="1" x14ac:dyDescent="0.25">
      <c r="N4853" s="44"/>
      <c r="O4853" s="44"/>
      <c r="P4853" s="44"/>
      <c r="Q4853" s="44"/>
      <c r="R4853" s="44"/>
      <c r="S4853" s="44"/>
      <c r="T4853" s="44"/>
      <c r="U4853" s="44"/>
      <c r="V4853" s="44"/>
      <c r="W4853" s="44"/>
      <c r="X4853" s="44"/>
      <c r="Y4853" s="44"/>
    </row>
    <row r="4854" spans="14:25" ht="15" customHeight="1" x14ac:dyDescent="0.25">
      <c r="N4854" s="44"/>
      <c r="O4854" s="44"/>
      <c r="P4854" s="44"/>
      <c r="Q4854" s="44"/>
      <c r="R4854" s="44"/>
      <c r="S4854" s="44"/>
      <c r="T4854" s="44"/>
      <c r="U4854" s="44"/>
      <c r="V4854" s="44"/>
      <c r="W4854" s="44"/>
      <c r="X4854" s="44"/>
      <c r="Y4854" s="44"/>
    </row>
    <row r="4855" spans="14:25" ht="15" customHeight="1" x14ac:dyDescent="0.25">
      <c r="N4855" s="44"/>
      <c r="O4855" s="44"/>
      <c r="P4855" s="44"/>
      <c r="Q4855" s="44"/>
      <c r="R4855" s="44"/>
      <c r="S4855" s="44"/>
      <c r="T4855" s="44"/>
      <c r="U4855" s="44"/>
      <c r="V4855" s="44"/>
      <c r="W4855" s="44"/>
      <c r="X4855" s="44"/>
      <c r="Y4855" s="44"/>
    </row>
    <row r="4856" spans="14:25" ht="15" customHeight="1" x14ac:dyDescent="0.25">
      <c r="N4856" s="44"/>
      <c r="O4856" s="44"/>
      <c r="P4856" s="44"/>
      <c r="Q4856" s="44"/>
      <c r="R4856" s="44"/>
      <c r="S4856" s="44"/>
      <c r="T4856" s="44"/>
      <c r="U4856" s="44"/>
      <c r="V4856" s="44"/>
      <c r="W4856" s="44"/>
      <c r="X4856" s="44"/>
      <c r="Y4856" s="44"/>
    </row>
    <row r="4857" spans="14:25" ht="15" customHeight="1" x14ac:dyDescent="0.25">
      <c r="N4857" s="44"/>
      <c r="O4857" s="44"/>
      <c r="P4857" s="44"/>
      <c r="Q4857" s="44"/>
      <c r="R4857" s="44"/>
      <c r="S4857" s="44"/>
      <c r="T4857" s="44"/>
      <c r="U4857" s="44"/>
      <c r="V4857" s="44"/>
      <c r="W4857" s="44"/>
      <c r="X4857" s="44"/>
      <c r="Y4857" s="44"/>
    </row>
    <row r="4858" spans="14:25" ht="15" customHeight="1" x14ac:dyDescent="0.25">
      <c r="N4858" s="44"/>
      <c r="O4858" s="44"/>
      <c r="P4858" s="44"/>
      <c r="Q4858" s="44"/>
      <c r="R4858" s="44"/>
      <c r="S4858" s="44"/>
      <c r="T4858" s="44"/>
      <c r="U4858" s="44"/>
      <c r="V4858" s="44"/>
      <c r="W4858" s="44"/>
      <c r="X4858" s="44"/>
      <c r="Y4858" s="44"/>
    </row>
    <row r="4859" spans="14:25" ht="15" customHeight="1" x14ac:dyDescent="0.25">
      <c r="N4859" s="44"/>
      <c r="O4859" s="44"/>
      <c r="P4859" s="44"/>
      <c r="Q4859" s="44"/>
      <c r="R4859" s="44"/>
      <c r="S4859" s="44"/>
      <c r="T4859" s="44"/>
      <c r="U4859" s="44"/>
      <c r="V4859" s="44"/>
      <c r="W4859" s="44"/>
      <c r="X4859" s="44"/>
      <c r="Y4859" s="44"/>
    </row>
    <row r="4860" spans="14:25" ht="15" customHeight="1" x14ac:dyDescent="0.25">
      <c r="N4860" s="44"/>
      <c r="O4860" s="44"/>
      <c r="P4860" s="44"/>
      <c r="Q4860" s="44"/>
      <c r="R4860" s="44"/>
      <c r="S4860" s="44"/>
      <c r="T4860" s="44"/>
      <c r="U4860" s="44"/>
      <c r="V4860" s="44"/>
      <c r="W4860" s="44"/>
      <c r="X4860" s="44"/>
      <c r="Y4860" s="44"/>
    </row>
    <row r="4861" spans="14:25" ht="15" customHeight="1" x14ac:dyDescent="0.25">
      <c r="N4861" s="44"/>
      <c r="O4861" s="44"/>
      <c r="P4861" s="44"/>
      <c r="Q4861" s="44"/>
      <c r="R4861" s="44"/>
      <c r="S4861" s="44"/>
      <c r="T4861" s="44"/>
      <c r="U4861" s="44"/>
      <c r="V4861" s="44"/>
      <c r="W4861" s="44"/>
      <c r="X4861" s="44"/>
      <c r="Y4861" s="44"/>
    </row>
    <row r="4862" spans="14:25" ht="15" customHeight="1" x14ac:dyDescent="0.25">
      <c r="N4862" s="44"/>
      <c r="O4862" s="44"/>
      <c r="P4862" s="44"/>
      <c r="Q4862" s="44"/>
      <c r="R4862" s="44"/>
      <c r="S4862" s="44"/>
      <c r="T4862" s="44"/>
      <c r="U4862" s="44"/>
      <c r="V4862" s="44"/>
      <c r="W4862" s="44"/>
      <c r="X4862" s="44"/>
      <c r="Y4862" s="44"/>
    </row>
    <row r="4863" spans="14:25" ht="15" customHeight="1" x14ac:dyDescent="0.25">
      <c r="N4863" s="44"/>
      <c r="O4863" s="44"/>
      <c r="P4863" s="44"/>
      <c r="Q4863" s="44"/>
      <c r="R4863" s="44"/>
      <c r="S4863" s="44"/>
      <c r="T4863" s="44"/>
      <c r="U4863" s="44"/>
      <c r="V4863" s="44"/>
      <c r="W4863" s="44"/>
      <c r="X4863" s="44"/>
      <c r="Y4863" s="44"/>
    </row>
    <row r="4864" spans="14:25" ht="15" customHeight="1" x14ac:dyDescent="0.25">
      <c r="N4864" s="44"/>
      <c r="O4864" s="44"/>
      <c r="P4864" s="44"/>
      <c r="Q4864" s="44"/>
      <c r="R4864" s="44"/>
      <c r="S4864" s="44"/>
      <c r="T4864" s="44"/>
      <c r="U4864" s="44"/>
      <c r="V4864" s="44"/>
      <c r="W4864" s="44"/>
      <c r="X4864" s="44"/>
      <c r="Y4864" s="44"/>
    </row>
    <row r="4865" spans="14:25" ht="15" customHeight="1" x14ac:dyDescent="0.25">
      <c r="N4865" s="44"/>
      <c r="O4865" s="44"/>
      <c r="P4865" s="44"/>
      <c r="Q4865" s="44"/>
      <c r="R4865" s="44"/>
      <c r="S4865" s="44"/>
      <c r="T4865" s="44"/>
      <c r="U4865" s="44"/>
      <c r="V4865" s="44"/>
      <c r="W4865" s="44"/>
      <c r="X4865" s="44"/>
      <c r="Y4865" s="44"/>
    </row>
    <row r="4866" spans="14:25" ht="15" customHeight="1" x14ac:dyDescent="0.25">
      <c r="N4866" s="44"/>
      <c r="O4866" s="44"/>
      <c r="P4866" s="44"/>
      <c r="Q4866" s="44"/>
      <c r="R4866" s="44"/>
      <c r="S4866" s="44"/>
      <c r="T4866" s="44"/>
      <c r="U4866" s="44"/>
      <c r="V4866" s="44"/>
      <c r="W4866" s="44"/>
      <c r="X4866" s="44"/>
      <c r="Y4866" s="44"/>
    </row>
    <row r="4867" spans="14:25" ht="15" customHeight="1" x14ac:dyDescent="0.25">
      <c r="N4867" s="44"/>
      <c r="O4867" s="44"/>
      <c r="P4867" s="44"/>
      <c r="Q4867" s="44"/>
      <c r="R4867" s="44"/>
      <c r="S4867" s="44"/>
      <c r="T4867" s="44"/>
      <c r="U4867" s="44"/>
      <c r="V4867" s="44"/>
      <c r="W4867" s="44"/>
      <c r="X4867" s="44"/>
      <c r="Y4867" s="44"/>
    </row>
    <row r="4868" spans="14:25" ht="15" customHeight="1" x14ac:dyDescent="0.25">
      <c r="N4868" s="44"/>
      <c r="O4868" s="44"/>
      <c r="P4868" s="44"/>
      <c r="Q4868" s="44"/>
      <c r="R4868" s="44"/>
      <c r="S4868" s="44"/>
      <c r="T4868" s="44"/>
      <c r="U4868" s="44"/>
      <c r="V4868" s="44"/>
      <c r="W4868" s="44"/>
      <c r="X4868" s="44"/>
      <c r="Y4868" s="44"/>
    </row>
    <row r="4869" spans="14:25" ht="15" customHeight="1" x14ac:dyDescent="0.25">
      <c r="N4869" s="44"/>
      <c r="O4869" s="44"/>
      <c r="P4869" s="44"/>
      <c r="Q4869" s="44"/>
      <c r="R4869" s="44"/>
      <c r="S4869" s="44"/>
      <c r="T4869" s="44"/>
      <c r="U4869" s="44"/>
      <c r="V4869" s="44"/>
      <c r="W4869" s="44"/>
      <c r="X4869" s="44"/>
      <c r="Y4869" s="44"/>
    </row>
    <row r="4870" spans="14:25" ht="15" customHeight="1" x14ac:dyDescent="0.25">
      <c r="N4870" s="44"/>
      <c r="O4870" s="44"/>
      <c r="P4870" s="44"/>
      <c r="Q4870" s="44"/>
      <c r="R4870" s="44"/>
      <c r="S4870" s="44"/>
      <c r="T4870" s="44"/>
      <c r="U4870" s="44"/>
      <c r="V4870" s="44"/>
      <c r="W4870" s="44"/>
      <c r="X4870" s="44"/>
      <c r="Y4870" s="44"/>
    </row>
    <row r="4871" spans="14:25" ht="15" customHeight="1" x14ac:dyDescent="0.25">
      <c r="N4871" s="44"/>
      <c r="O4871" s="44"/>
      <c r="P4871" s="44"/>
      <c r="Q4871" s="44"/>
      <c r="R4871" s="44"/>
      <c r="S4871" s="44"/>
      <c r="T4871" s="44"/>
      <c r="U4871" s="44"/>
      <c r="V4871" s="44"/>
      <c r="W4871" s="44"/>
      <c r="X4871" s="44"/>
      <c r="Y4871" s="44"/>
    </row>
    <row r="4872" spans="14:25" ht="15" customHeight="1" x14ac:dyDescent="0.25">
      <c r="N4872" s="44"/>
      <c r="O4872" s="44"/>
      <c r="P4872" s="44"/>
      <c r="Q4872" s="44"/>
      <c r="R4872" s="44"/>
      <c r="S4872" s="44"/>
      <c r="T4872" s="44"/>
      <c r="U4872" s="44"/>
      <c r="V4872" s="44"/>
      <c r="W4872" s="44"/>
      <c r="X4872" s="44"/>
      <c r="Y4872" s="44"/>
    </row>
    <row r="4873" spans="14:25" ht="15" customHeight="1" x14ac:dyDescent="0.25">
      <c r="N4873" s="44"/>
      <c r="O4873" s="44"/>
      <c r="P4873" s="44"/>
      <c r="Q4873" s="44"/>
      <c r="R4873" s="44"/>
      <c r="S4873" s="44"/>
      <c r="T4873" s="44"/>
      <c r="U4873" s="44"/>
      <c r="V4873" s="44"/>
      <c r="W4873" s="44"/>
      <c r="X4873" s="44"/>
      <c r="Y4873" s="44"/>
    </row>
    <row r="4874" spans="14:25" ht="15" customHeight="1" x14ac:dyDescent="0.25">
      <c r="N4874" s="44"/>
      <c r="O4874" s="44"/>
      <c r="P4874" s="44"/>
      <c r="Q4874" s="44"/>
      <c r="R4874" s="44"/>
      <c r="S4874" s="44"/>
      <c r="T4874" s="44"/>
      <c r="U4874" s="44"/>
      <c r="V4874" s="44"/>
      <c r="W4874" s="44"/>
      <c r="X4874" s="44"/>
      <c r="Y4874" s="44"/>
    </row>
    <row r="4875" spans="14:25" ht="15" customHeight="1" x14ac:dyDescent="0.25">
      <c r="N4875" s="44"/>
      <c r="O4875" s="44"/>
      <c r="P4875" s="44"/>
      <c r="Q4875" s="44"/>
      <c r="R4875" s="44"/>
      <c r="S4875" s="44"/>
      <c r="T4875" s="44"/>
      <c r="U4875" s="44"/>
      <c r="V4875" s="44"/>
      <c r="W4875" s="44"/>
      <c r="X4875" s="44"/>
      <c r="Y4875" s="44"/>
    </row>
    <row r="4876" spans="14:25" ht="15" customHeight="1" x14ac:dyDescent="0.25">
      <c r="N4876" s="44"/>
      <c r="O4876" s="44"/>
      <c r="P4876" s="44"/>
      <c r="Q4876" s="44"/>
      <c r="R4876" s="44"/>
      <c r="S4876" s="44"/>
      <c r="T4876" s="44"/>
      <c r="U4876" s="44"/>
      <c r="V4876" s="44"/>
      <c r="W4876" s="44"/>
      <c r="X4876" s="44"/>
      <c r="Y4876" s="44"/>
    </row>
    <row r="4877" spans="14:25" ht="15" customHeight="1" x14ac:dyDescent="0.25">
      <c r="N4877" s="44"/>
      <c r="O4877" s="44"/>
      <c r="P4877" s="44"/>
      <c r="Q4877" s="44"/>
      <c r="R4877" s="44"/>
      <c r="S4877" s="44"/>
      <c r="T4877" s="44"/>
      <c r="U4877" s="44"/>
      <c r="V4877" s="44"/>
      <c r="W4877" s="44"/>
      <c r="X4877" s="44"/>
      <c r="Y4877" s="44"/>
    </row>
    <row r="4878" spans="14:25" ht="15" customHeight="1" x14ac:dyDescent="0.25">
      <c r="N4878" s="44"/>
      <c r="O4878" s="44"/>
      <c r="P4878" s="44"/>
      <c r="Q4878" s="44"/>
      <c r="R4878" s="44"/>
      <c r="S4878" s="44"/>
      <c r="T4878" s="44"/>
      <c r="U4878" s="44"/>
      <c r="V4878" s="44"/>
      <c r="W4878" s="44"/>
      <c r="X4878" s="44"/>
      <c r="Y4878" s="44"/>
    </row>
    <row r="4879" spans="14:25" ht="15" customHeight="1" x14ac:dyDescent="0.25">
      <c r="N4879" s="44"/>
      <c r="O4879" s="44"/>
      <c r="P4879" s="44"/>
      <c r="Q4879" s="44"/>
      <c r="R4879" s="44"/>
      <c r="S4879" s="44"/>
      <c r="T4879" s="44"/>
      <c r="U4879" s="44"/>
      <c r="V4879" s="44"/>
      <c r="W4879" s="44"/>
      <c r="X4879" s="44"/>
      <c r="Y4879" s="44"/>
    </row>
    <row r="4880" spans="14:25" ht="15" customHeight="1" x14ac:dyDescent="0.25">
      <c r="N4880" s="44"/>
      <c r="O4880" s="44"/>
      <c r="P4880" s="44"/>
      <c r="Q4880" s="44"/>
      <c r="R4880" s="44"/>
      <c r="S4880" s="44"/>
      <c r="T4880" s="44"/>
      <c r="U4880" s="44"/>
      <c r="V4880" s="44"/>
      <c r="W4880" s="44"/>
      <c r="X4880" s="44"/>
      <c r="Y4880" s="44"/>
    </row>
    <row r="4881" spans="14:25" ht="15" customHeight="1" x14ac:dyDescent="0.25">
      <c r="N4881" s="44"/>
      <c r="O4881" s="44"/>
      <c r="P4881" s="44"/>
      <c r="Q4881" s="44"/>
      <c r="R4881" s="44"/>
      <c r="S4881" s="44"/>
      <c r="T4881" s="44"/>
      <c r="U4881" s="44"/>
      <c r="V4881" s="44"/>
      <c r="W4881" s="44"/>
      <c r="X4881" s="44"/>
      <c r="Y4881" s="44"/>
    </row>
    <row r="4882" spans="14:25" ht="15" customHeight="1" x14ac:dyDescent="0.25">
      <c r="N4882" s="44"/>
      <c r="O4882" s="44"/>
      <c r="P4882" s="44"/>
      <c r="Q4882" s="44"/>
      <c r="R4882" s="44"/>
      <c r="S4882" s="44"/>
      <c r="T4882" s="44"/>
      <c r="U4882" s="44"/>
      <c r="V4882" s="44"/>
      <c r="W4882" s="44"/>
      <c r="X4882" s="44"/>
      <c r="Y4882" s="44"/>
    </row>
    <row r="4883" spans="14:25" ht="15" customHeight="1" x14ac:dyDescent="0.25">
      <c r="N4883" s="44"/>
      <c r="O4883" s="44"/>
      <c r="P4883" s="44"/>
      <c r="Q4883" s="44"/>
      <c r="R4883" s="44"/>
      <c r="S4883" s="44"/>
      <c r="T4883" s="44"/>
      <c r="U4883" s="44"/>
      <c r="V4883" s="44"/>
      <c r="W4883" s="44"/>
      <c r="X4883" s="44"/>
      <c r="Y4883" s="44"/>
    </row>
    <row r="4884" spans="14:25" ht="15" customHeight="1" x14ac:dyDescent="0.25">
      <c r="N4884" s="44"/>
      <c r="O4884" s="44"/>
      <c r="P4884" s="44"/>
      <c r="Q4884" s="44"/>
      <c r="R4884" s="44"/>
      <c r="S4884" s="44"/>
      <c r="T4884" s="44"/>
      <c r="U4884" s="44"/>
      <c r="V4884" s="44"/>
      <c r="W4884" s="44"/>
      <c r="X4884" s="44"/>
      <c r="Y4884" s="44"/>
    </row>
    <row r="4885" spans="14:25" ht="15" customHeight="1" x14ac:dyDescent="0.25">
      <c r="N4885" s="44"/>
      <c r="O4885" s="44"/>
      <c r="P4885" s="44"/>
      <c r="Q4885" s="44"/>
      <c r="R4885" s="44"/>
      <c r="S4885" s="44"/>
      <c r="T4885" s="44"/>
      <c r="U4885" s="44"/>
      <c r="V4885" s="44"/>
      <c r="W4885" s="44"/>
      <c r="X4885" s="44"/>
      <c r="Y4885" s="44"/>
    </row>
    <row r="4886" spans="14:25" ht="15" customHeight="1" x14ac:dyDescent="0.25">
      <c r="N4886" s="44"/>
      <c r="O4886" s="44"/>
      <c r="P4886" s="44"/>
      <c r="Q4886" s="44"/>
      <c r="R4886" s="44"/>
      <c r="S4886" s="44"/>
      <c r="T4886" s="44"/>
      <c r="U4886" s="44"/>
      <c r="V4886" s="44"/>
      <c r="W4886" s="44"/>
      <c r="X4886" s="44"/>
      <c r="Y4886" s="44"/>
    </row>
    <row r="4887" spans="14:25" ht="15" customHeight="1" x14ac:dyDescent="0.25">
      <c r="N4887" s="44"/>
      <c r="O4887" s="44"/>
      <c r="P4887" s="44"/>
      <c r="Q4887" s="44"/>
      <c r="R4887" s="44"/>
      <c r="S4887" s="44"/>
      <c r="T4887" s="44"/>
      <c r="U4887" s="44"/>
      <c r="V4887" s="44"/>
      <c r="W4887" s="44"/>
      <c r="X4887" s="44"/>
      <c r="Y4887" s="44"/>
    </row>
    <row r="4888" spans="14:25" ht="15" customHeight="1" x14ac:dyDescent="0.25">
      <c r="N4888" s="44"/>
      <c r="O4888" s="44"/>
      <c r="P4888" s="44"/>
      <c r="Q4888" s="44"/>
      <c r="R4888" s="44"/>
      <c r="S4888" s="44"/>
      <c r="T4888" s="44"/>
      <c r="U4888" s="44"/>
      <c r="V4888" s="44"/>
      <c r="W4888" s="44"/>
      <c r="X4888" s="44"/>
      <c r="Y4888" s="44"/>
    </row>
    <row r="4889" spans="14:25" ht="15" customHeight="1" x14ac:dyDescent="0.25">
      <c r="N4889" s="44"/>
      <c r="O4889" s="44"/>
      <c r="P4889" s="44"/>
      <c r="Q4889" s="44"/>
      <c r="R4889" s="44"/>
      <c r="S4889" s="44"/>
      <c r="T4889" s="44"/>
      <c r="U4889" s="44"/>
      <c r="V4889" s="44"/>
      <c r="W4889" s="44"/>
      <c r="X4889" s="44"/>
      <c r="Y4889" s="44"/>
    </row>
    <row r="4890" spans="14:25" ht="15" customHeight="1" x14ac:dyDescent="0.25">
      <c r="N4890" s="44"/>
      <c r="O4890" s="44"/>
      <c r="P4890" s="44"/>
      <c r="Q4890" s="44"/>
      <c r="R4890" s="44"/>
      <c r="S4890" s="44"/>
      <c r="T4890" s="44"/>
      <c r="U4890" s="44"/>
      <c r="V4890" s="44"/>
      <c r="W4890" s="44"/>
      <c r="X4890" s="44"/>
      <c r="Y4890" s="44"/>
    </row>
    <row r="4891" spans="14:25" ht="15" customHeight="1" x14ac:dyDescent="0.25">
      <c r="N4891" s="44"/>
      <c r="O4891" s="44"/>
      <c r="P4891" s="44"/>
      <c r="Q4891" s="44"/>
      <c r="R4891" s="44"/>
      <c r="S4891" s="44"/>
      <c r="T4891" s="44"/>
      <c r="U4891" s="44"/>
      <c r="V4891" s="44"/>
      <c r="W4891" s="44"/>
      <c r="X4891" s="44"/>
      <c r="Y4891" s="44"/>
    </row>
    <row r="4892" spans="14:25" ht="15" customHeight="1" x14ac:dyDescent="0.25">
      <c r="N4892" s="44"/>
      <c r="O4892" s="44"/>
      <c r="P4892" s="44"/>
      <c r="Q4892" s="44"/>
      <c r="R4892" s="44"/>
      <c r="S4892" s="44"/>
      <c r="T4892" s="44"/>
      <c r="U4892" s="44"/>
      <c r="V4892" s="44"/>
      <c r="W4892" s="44"/>
      <c r="X4892" s="44"/>
      <c r="Y4892" s="44"/>
    </row>
    <row r="4893" spans="14:25" ht="15" customHeight="1" x14ac:dyDescent="0.25">
      <c r="N4893" s="44"/>
      <c r="O4893" s="44"/>
      <c r="P4893" s="44"/>
      <c r="Q4893" s="44"/>
      <c r="R4893" s="44"/>
      <c r="S4893" s="44"/>
      <c r="T4893" s="44"/>
      <c r="U4893" s="44"/>
      <c r="V4893" s="44"/>
      <c r="W4893" s="44"/>
      <c r="X4893" s="44"/>
      <c r="Y4893" s="44"/>
    </row>
    <row r="4894" spans="14:25" ht="15" customHeight="1" x14ac:dyDescent="0.25">
      <c r="N4894" s="44"/>
      <c r="O4894" s="44"/>
      <c r="P4894" s="44"/>
      <c r="Q4894" s="44"/>
      <c r="R4894" s="44"/>
      <c r="S4894" s="44"/>
      <c r="T4894" s="44"/>
      <c r="U4894" s="44"/>
      <c r="V4894" s="44"/>
      <c r="W4894" s="44"/>
      <c r="X4894" s="44"/>
      <c r="Y4894" s="44"/>
    </row>
    <row r="4895" spans="14:25" ht="15" customHeight="1" x14ac:dyDescent="0.25">
      <c r="N4895" s="44"/>
      <c r="O4895" s="44"/>
      <c r="P4895" s="44"/>
      <c r="Q4895" s="44"/>
      <c r="R4895" s="44"/>
      <c r="S4895" s="44"/>
      <c r="T4895" s="44"/>
      <c r="U4895" s="44"/>
      <c r="V4895" s="44"/>
      <c r="W4895" s="44"/>
      <c r="X4895" s="44"/>
      <c r="Y4895" s="44"/>
    </row>
    <row r="4896" spans="14:25" ht="15" customHeight="1" x14ac:dyDescent="0.25">
      <c r="N4896" s="44"/>
      <c r="O4896" s="44"/>
      <c r="P4896" s="44"/>
      <c r="Q4896" s="44"/>
      <c r="R4896" s="44"/>
      <c r="S4896" s="44"/>
      <c r="T4896" s="44"/>
      <c r="U4896" s="44"/>
      <c r="V4896" s="44"/>
      <c r="W4896" s="44"/>
      <c r="X4896" s="44"/>
      <c r="Y4896" s="44"/>
    </row>
    <row r="4897" spans="14:25" ht="15" customHeight="1" x14ac:dyDescent="0.25">
      <c r="N4897" s="44"/>
      <c r="O4897" s="44"/>
      <c r="P4897" s="44"/>
      <c r="Q4897" s="44"/>
      <c r="R4897" s="44"/>
      <c r="S4897" s="44"/>
      <c r="T4897" s="44"/>
      <c r="U4897" s="44"/>
      <c r="V4897" s="44"/>
      <c r="W4897" s="44"/>
      <c r="X4897" s="44"/>
      <c r="Y4897" s="44"/>
    </row>
    <row r="4898" spans="14:25" ht="15" customHeight="1" x14ac:dyDescent="0.25">
      <c r="N4898" s="44"/>
      <c r="O4898" s="44"/>
      <c r="P4898" s="44"/>
      <c r="Q4898" s="44"/>
      <c r="R4898" s="44"/>
      <c r="S4898" s="44"/>
      <c r="T4898" s="44"/>
      <c r="U4898" s="44"/>
      <c r="V4898" s="44"/>
      <c r="W4898" s="44"/>
      <c r="X4898" s="44"/>
      <c r="Y4898" s="44"/>
    </row>
    <row r="4899" spans="14:25" ht="15" customHeight="1" x14ac:dyDescent="0.25">
      <c r="N4899" s="44"/>
      <c r="O4899" s="44"/>
      <c r="P4899" s="44"/>
      <c r="Q4899" s="44"/>
      <c r="R4899" s="44"/>
      <c r="S4899" s="44"/>
      <c r="T4899" s="44"/>
      <c r="U4899" s="44"/>
      <c r="V4899" s="44"/>
      <c r="W4899" s="44"/>
      <c r="X4899" s="44"/>
      <c r="Y4899" s="44"/>
    </row>
    <row r="4900" spans="14:25" ht="15" customHeight="1" x14ac:dyDescent="0.25">
      <c r="N4900" s="44"/>
      <c r="O4900" s="44"/>
      <c r="P4900" s="44"/>
      <c r="Q4900" s="44"/>
      <c r="R4900" s="44"/>
      <c r="S4900" s="44"/>
      <c r="T4900" s="44"/>
      <c r="U4900" s="44"/>
      <c r="V4900" s="44"/>
      <c r="W4900" s="44"/>
      <c r="X4900" s="44"/>
      <c r="Y4900" s="44"/>
    </row>
    <row r="4901" spans="14:25" ht="15" customHeight="1" x14ac:dyDescent="0.25">
      <c r="N4901" s="44"/>
      <c r="O4901" s="44"/>
      <c r="P4901" s="44"/>
      <c r="Q4901" s="44"/>
      <c r="R4901" s="44"/>
      <c r="S4901" s="44"/>
      <c r="T4901" s="44"/>
      <c r="U4901" s="44"/>
      <c r="V4901" s="44"/>
      <c r="W4901" s="44"/>
      <c r="X4901" s="44"/>
      <c r="Y4901" s="44"/>
    </row>
    <row r="4902" spans="14:25" ht="15" customHeight="1" x14ac:dyDescent="0.25">
      <c r="N4902" s="44"/>
      <c r="O4902" s="44"/>
      <c r="P4902" s="44"/>
      <c r="Q4902" s="44"/>
      <c r="R4902" s="44"/>
      <c r="S4902" s="44"/>
      <c r="T4902" s="44"/>
      <c r="U4902" s="44"/>
      <c r="V4902" s="44"/>
      <c r="W4902" s="44"/>
      <c r="X4902" s="44"/>
      <c r="Y4902" s="44"/>
    </row>
    <row r="4903" spans="14:25" ht="15" customHeight="1" x14ac:dyDescent="0.25">
      <c r="N4903" s="44"/>
      <c r="O4903" s="44"/>
      <c r="P4903" s="44"/>
      <c r="Q4903" s="44"/>
      <c r="R4903" s="44"/>
      <c r="S4903" s="44"/>
      <c r="T4903" s="44"/>
      <c r="U4903" s="44"/>
      <c r="V4903" s="44"/>
      <c r="W4903" s="44"/>
      <c r="X4903" s="44"/>
      <c r="Y4903" s="44"/>
    </row>
    <row r="4904" spans="14:25" ht="15" customHeight="1" x14ac:dyDescent="0.25">
      <c r="N4904" s="44"/>
      <c r="O4904" s="44"/>
      <c r="P4904" s="44"/>
      <c r="Q4904" s="44"/>
      <c r="R4904" s="44"/>
      <c r="S4904" s="44"/>
      <c r="T4904" s="44"/>
      <c r="U4904" s="44"/>
      <c r="V4904" s="44"/>
      <c r="W4904" s="44"/>
      <c r="X4904" s="44"/>
      <c r="Y4904" s="44"/>
    </row>
    <row r="4905" spans="14:25" ht="15" customHeight="1" x14ac:dyDescent="0.25">
      <c r="N4905" s="44"/>
      <c r="O4905" s="44"/>
      <c r="P4905" s="44"/>
      <c r="Q4905" s="44"/>
      <c r="R4905" s="44"/>
      <c r="S4905" s="44"/>
      <c r="T4905" s="44"/>
      <c r="U4905" s="44"/>
      <c r="V4905" s="44"/>
      <c r="W4905" s="44"/>
      <c r="X4905" s="44"/>
      <c r="Y4905" s="44"/>
    </row>
    <row r="4906" spans="14:25" ht="15" customHeight="1" x14ac:dyDescent="0.25">
      <c r="N4906" s="44"/>
      <c r="O4906" s="44"/>
      <c r="P4906" s="44"/>
      <c r="Q4906" s="44"/>
      <c r="R4906" s="44"/>
      <c r="S4906" s="44"/>
      <c r="T4906" s="44"/>
      <c r="U4906" s="44"/>
      <c r="V4906" s="44"/>
      <c r="W4906" s="44"/>
      <c r="X4906" s="44"/>
      <c r="Y4906" s="44"/>
    </row>
    <row r="4907" spans="14:25" ht="15" customHeight="1" x14ac:dyDescent="0.25">
      <c r="N4907" s="44"/>
      <c r="O4907" s="44"/>
      <c r="P4907" s="44"/>
      <c r="Q4907" s="44"/>
      <c r="R4907" s="44"/>
      <c r="S4907" s="44"/>
      <c r="T4907" s="44"/>
      <c r="U4907" s="44"/>
      <c r="V4907" s="44"/>
      <c r="W4907" s="44"/>
      <c r="X4907" s="44"/>
      <c r="Y4907" s="44"/>
    </row>
    <row r="4908" spans="14:25" ht="15" customHeight="1" x14ac:dyDescent="0.25">
      <c r="N4908" s="44"/>
      <c r="O4908" s="44"/>
      <c r="P4908" s="44"/>
      <c r="Q4908" s="44"/>
      <c r="R4908" s="44"/>
      <c r="S4908" s="44"/>
      <c r="T4908" s="44"/>
      <c r="U4908" s="44"/>
      <c r="V4908" s="44"/>
      <c r="W4908" s="44"/>
      <c r="X4908" s="44"/>
      <c r="Y4908" s="44"/>
    </row>
    <row r="4909" spans="14:25" ht="15" customHeight="1" x14ac:dyDescent="0.25">
      <c r="N4909" s="44"/>
      <c r="O4909" s="44"/>
      <c r="P4909" s="44"/>
      <c r="Q4909" s="44"/>
      <c r="R4909" s="44"/>
      <c r="S4909" s="44"/>
      <c r="T4909" s="44"/>
      <c r="U4909" s="44"/>
      <c r="V4909" s="44"/>
      <c r="W4909" s="44"/>
      <c r="X4909" s="44"/>
      <c r="Y4909" s="44"/>
    </row>
    <row r="4910" spans="14:25" ht="15" customHeight="1" x14ac:dyDescent="0.25">
      <c r="N4910" s="44"/>
      <c r="O4910" s="44"/>
      <c r="P4910" s="44"/>
      <c r="Q4910" s="44"/>
      <c r="R4910" s="44"/>
      <c r="S4910" s="44"/>
      <c r="T4910" s="44"/>
      <c r="U4910" s="44"/>
      <c r="V4910" s="44"/>
      <c r="W4910" s="44"/>
      <c r="X4910" s="44"/>
      <c r="Y4910" s="44"/>
    </row>
    <row r="4911" spans="14:25" ht="15" customHeight="1" x14ac:dyDescent="0.25">
      <c r="N4911" s="44"/>
      <c r="O4911" s="44"/>
      <c r="P4911" s="44"/>
      <c r="Q4911" s="44"/>
      <c r="R4911" s="44"/>
      <c r="S4911" s="44"/>
      <c r="T4911" s="44"/>
      <c r="U4911" s="44"/>
      <c r="V4911" s="44"/>
      <c r="W4911" s="44"/>
      <c r="X4911" s="44"/>
      <c r="Y4911" s="44"/>
    </row>
    <row r="4912" spans="14:25" ht="15" customHeight="1" x14ac:dyDescent="0.25">
      <c r="N4912" s="44"/>
      <c r="O4912" s="44"/>
      <c r="P4912" s="44"/>
      <c r="Q4912" s="44"/>
      <c r="R4912" s="44"/>
      <c r="S4912" s="44"/>
      <c r="T4912" s="44"/>
      <c r="U4912" s="44"/>
      <c r="V4912" s="44"/>
      <c r="W4912" s="44"/>
      <c r="X4912" s="44"/>
      <c r="Y4912" s="44"/>
    </row>
    <row r="4913" spans="14:25" ht="15" customHeight="1" x14ac:dyDescent="0.25">
      <c r="N4913" s="44"/>
      <c r="O4913" s="44"/>
      <c r="P4913" s="44"/>
      <c r="Q4913" s="44"/>
      <c r="R4913" s="44"/>
      <c r="S4913" s="44"/>
      <c r="T4913" s="44"/>
      <c r="U4913" s="44"/>
      <c r="V4913" s="44"/>
      <c r="W4913" s="44"/>
      <c r="X4913" s="44"/>
      <c r="Y4913" s="44"/>
    </row>
    <row r="4914" spans="14:25" ht="15" customHeight="1" x14ac:dyDescent="0.25">
      <c r="N4914" s="44"/>
      <c r="O4914" s="44"/>
      <c r="P4914" s="44"/>
      <c r="Q4914" s="44"/>
      <c r="R4914" s="44"/>
      <c r="S4914" s="44"/>
      <c r="T4914" s="44"/>
      <c r="U4914" s="44"/>
      <c r="V4914" s="44"/>
      <c r="W4914" s="44"/>
      <c r="X4914" s="44"/>
      <c r="Y4914" s="44"/>
    </row>
    <row r="4915" spans="14:25" ht="15" customHeight="1" x14ac:dyDescent="0.25">
      <c r="N4915" s="44"/>
      <c r="O4915" s="44"/>
      <c r="P4915" s="44"/>
      <c r="Q4915" s="44"/>
      <c r="R4915" s="44"/>
      <c r="S4915" s="44"/>
      <c r="T4915" s="44"/>
      <c r="U4915" s="44"/>
      <c r="V4915" s="44"/>
      <c r="W4915" s="44"/>
      <c r="X4915" s="44"/>
      <c r="Y4915" s="44"/>
    </row>
    <row r="4916" spans="14:25" ht="15" customHeight="1" x14ac:dyDescent="0.25">
      <c r="N4916" s="44"/>
      <c r="O4916" s="44"/>
      <c r="P4916" s="44"/>
      <c r="Q4916" s="44"/>
      <c r="R4916" s="44"/>
      <c r="S4916" s="44"/>
      <c r="T4916" s="44"/>
      <c r="U4916" s="44"/>
      <c r="V4916" s="44"/>
      <c r="W4916" s="44"/>
      <c r="X4916" s="44"/>
      <c r="Y4916" s="44"/>
    </row>
    <row r="4917" spans="14:25" ht="15" customHeight="1" x14ac:dyDescent="0.25">
      <c r="N4917" s="44"/>
      <c r="O4917" s="44"/>
      <c r="P4917" s="44"/>
      <c r="Q4917" s="44"/>
      <c r="R4917" s="44"/>
      <c r="S4917" s="44"/>
      <c r="T4917" s="44"/>
      <c r="U4917" s="44"/>
      <c r="V4917" s="44"/>
      <c r="W4917" s="44"/>
      <c r="X4917" s="44"/>
      <c r="Y4917" s="44"/>
    </row>
    <row r="4918" spans="14:25" ht="15" customHeight="1" x14ac:dyDescent="0.25">
      <c r="N4918" s="44"/>
      <c r="O4918" s="44"/>
      <c r="P4918" s="44"/>
      <c r="Q4918" s="44"/>
      <c r="R4918" s="44"/>
      <c r="S4918" s="44"/>
      <c r="T4918" s="44"/>
      <c r="U4918" s="44"/>
      <c r="V4918" s="44"/>
      <c r="W4918" s="44"/>
      <c r="X4918" s="44"/>
      <c r="Y4918" s="44"/>
    </row>
    <row r="4919" spans="14:25" ht="15" customHeight="1" x14ac:dyDescent="0.25">
      <c r="N4919" s="44"/>
      <c r="O4919" s="44"/>
      <c r="P4919" s="44"/>
      <c r="Q4919" s="44"/>
      <c r="R4919" s="44"/>
      <c r="S4919" s="44"/>
      <c r="T4919" s="44"/>
      <c r="U4919" s="44"/>
      <c r="V4919" s="44"/>
      <c r="W4919" s="44"/>
      <c r="X4919" s="44"/>
      <c r="Y4919" s="44"/>
    </row>
    <row r="4920" spans="14:25" ht="15" customHeight="1" x14ac:dyDescent="0.25">
      <c r="N4920" s="44"/>
      <c r="O4920" s="44"/>
      <c r="P4920" s="44"/>
      <c r="Q4920" s="44"/>
      <c r="R4920" s="44"/>
      <c r="S4920" s="44"/>
      <c r="T4920" s="44"/>
      <c r="U4920" s="44"/>
      <c r="V4920" s="44"/>
      <c r="W4920" s="44"/>
      <c r="X4920" s="44"/>
      <c r="Y4920" s="44"/>
    </row>
    <row r="4921" spans="14:25" ht="15" customHeight="1" x14ac:dyDescent="0.25">
      <c r="N4921" s="44"/>
      <c r="O4921" s="44"/>
      <c r="P4921" s="44"/>
      <c r="Q4921" s="44"/>
      <c r="R4921" s="44"/>
      <c r="S4921" s="44"/>
      <c r="T4921" s="44"/>
      <c r="U4921" s="44"/>
      <c r="V4921" s="44"/>
      <c r="W4921" s="44"/>
      <c r="X4921" s="44"/>
      <c r="Y4921" s="44"/>
    </row>
    <row r="4922" spans="14:25" ht="15" customHeight="1" x14ac:dyDescent="0.25">
      <c r="N4922" s="44"/>
      <c r="O4922" s="44"/>
      <c r="P4922" s="44"/>
      <c r="Q4922" s="44"/>
      <c r="R4922" s="44"/>
      <c r="S4922" s="44"/>
      <c r="T4922" s="44"/>
      <c r="U4922" s="44"/>
      <c r="V4922" s="44"/>
      <c r="W4922" s="44"/>
      <c r="X4922" s="44"/>
      <c r="Y4922" s="44"/>
    </row>
    <row r="4923" spans="14:25" ht="15" customHeight="1" x14ac:dyDescent="0.25">
      <c r="N4923" s="44"/>
      <c r="O4923" s="44"/>
      <c r="P4923" s="44"/>
      <c r="Q4923" s="44"/>
      <c r="R4923" s="44"/>
      <c r="S4923" s="44"/>
      <c r="T4923" s="44"/>
      <c r="U4923" s="44"/>
      <c r="V4923" s="44"/>
      <c r="W4923" s="44"/>
      <c r="X4923" s="44"/>
      <c r="Y4923" s="44"/>
    </row>
    <row r="4924" spans="14:25" ht="15" customHeight="1" x14ac:dyDescent="0.25">
      <c r="N4924" s="44"/>
      <c r="O4924" s="44"/>
      <c r="P4924" s="44"/>
      <c r="Q4924" s="44"/>
      <c r="R4924" s="44"/>
      <c r="S4924" s="44"/>
      <c r="T4924" s="44"/>
      <c r="U4924" s="44"/>
      <c r="V4924" s="44"/>
      <c r="W4924" s="44"/>
      <c r="X4924" s="44"/>
      <c r="Y4924" s="44"/>
    </row>
    <row r="4925" spans="14:25" ht="15" customHeight="1" x14ac:dyDescent="0.25">
      <c r="N4925" s="44"/>
      <c r="O4925" s="44"/>
      <c r="P4925" s="44"/>
      <c r="Q4925" s="44"/>
      <c r="R4925" s="44"/>
      <c r="S4925" s="44"/>
      <c r="T4925" s="44"/>
      <c r="U4925" s="44"/>
      <c r="V4925" s="44"/>
      <c r="W4925" s="44"/>
      <c r="X4925" s="44"/>
      <c r="Y4925" s="44"/>
    </row>
    <row r="4926" spans="14:25" ht="15" customHeight="1" x14ac:dyDescent="0.25">
      <c r="N4926" s="44"/>
      <c r="O4926" s="44"/>
      <c r="P4926" s="44"/>
      <c r="Q4926" s="44"/>
      <c r="R4926" s="44"/>
      <c r="S4926" s="44"/>
      <c r="T4926" s="44"/>
      <c r="U4926" s="44"/>
      <c r="V4926" s="44"/>
      <c r="W4926" s="44"/>
      <c r="X4926" s="44"/>
      <c r="Y4926" s="44"/>
    </row>
    <row r="4927" spans="14:25" ht="15" customHeight="1" x14ac:dyDescent="0.25">
      <c r="N4927" s="44"/>
      <c r="O4927" s="44"/>
      <c r="P4927" s="44"/>
      <c r="Q4927" s="44"/>
      <c r="R4927" s="44"/>
      <c r="S4927" s="44"/>
      <c r="T4927" s="44"/>
      <c r="U4927" s="44"/>
      <c r="V4927" s="44"/>
      <c r="W4927" s="44"/>
      <c r="X4927" s="44"/>
      <c r="Y4927" s="44"/>
    </row>
    <row r="4928" spans="14:25" ht="15" customHeight="1" x14ac:dyDescent="0.25">
      <c r="N4928" s="44"/>
      <c r="O4928" s="44"/>
      <c r="P4928" s="44"/>
      <c r="Q4928" s="44"/>
      <c r="R4928" s="44"/>
      <c r="S4928" s="44"/>
      <c r="T4928" s="44"/>
      <c r="U4928" s="44"/>
      <c r="V4928" s="44"/>
      <c r="W4928" s="44"/>
      <c r="X4928" s="44"/>
      <c r="Y4928" s="44"/>
    </row>
    <row r="4929" spans="14:25" ht="15" customHeight="1" x14ac:dyDescent="0.25">
      <c r="N4929" s="44"/>
      <c r="O4929" s="44"/>
      <c r="P4929" s="44"/>
      <c r="Q4929" s="44"/>
      <c r="R4929" s="44"/>
      <c r="S4929" s="44"/>
      <c r="T4929" s="44"/>
      <c r="U4929" s="44"/>
      <c r="V4929" s="44"/>
      <c r="W4929" s="44"/>
      <c r="X4929" s="44"/>
      <c r="Y4929" s="44"/>
    </row>
    <row r="4930" spans="14:25" ht="15" customHeight="1" x14ac:dyDescent="0.25">
      <c r="N4930" s="44"/>
      <c r="O4930" s="44"/>
      <c r="P4930" s="44"/>
      <c r="Q4930" s="44"/>
      <c r="R4930" s="44"/>
      <c r="S4930" s="44"/>
      <c r="T4930" s="44"/>
      <c r="U4930" s="44"/>
      <c r="V4930" s="44"/>
      <c r="W4930" s="44"/>
      <c r="X4930" s="44"/>
      <c r="Y4930" s="44"/>
    </row>
    <row r="4931" spans="14:25" ht="15" customHeight="1" x14ac:dyDescent="0.25">
      <c r="N4931" s="44"/>
      <c r="O4931" s="44"/>
      <c r="P4931" s="44"/>
      <c r="Q4931" s="44"/>
      <c r="R4931" s="44"/>
      <c r="S4931" s="44"/>
      <c r="T4931" s="44"/>
      <c r="U4931" s="44"/>
      <c r="V4931" s="44"/>
      <c r="W4931" s="44"/>
      <c r="X4931" s="44"/>
      <c r="Y4931" s="44"/>
    </row>
    <row r="4932" spans="14:25" ht="15" customHeight="1" x14ac:dyDescent="0.25">
      <c r="N4932" s="44"/>
      <c r="O4932" s="44"/>
      <c r="P4932" s="44"/>
      <c r="Q4932" s="44"/>
      <c r="R4932" s="44"/>
      <c r="S4932" s="44"/>
      <c r="T4932" s="44"/>
      <c r="U4932" s="44"/>
      <c r="V4932" s="44"/>
      <c r="W4932" s="44"/>
      <c r="X4932" s="44"/>
      <c r="Y4932" s="44"/>
    </row>
    <row r="4933" spans="14:25" ht="15" customHeight="1" x14ac:dyDescent="0.25">
      <c r="N4933" s="44"/>
      <c r="O4933" s="44"/>
      <c r="P4933" s="44"/>
      <c r="Q4933" s="44"/>
      <c r="R4933" s="44"/>
      <c r="S4933" s="44"/>
      <c r="T4933" s="44"/>
      <c r="U4933" s="44"/>
      <c r="V4933" s="44"/>
      <c r="W4933" s="44"/>
      <c r="X4933" s="44"/>
      <c r="Y4933" s="44"/>
    </row>
    <row r="4934" spans="14:25" ht="15" customHeight="1" x14ac:dyDescent="0.25">
      <c r="N4934" s="44"/>
      <c r="O4934" s="44"/>
      <c r="P4934" s="44"/>
      <c r="Q4934" s="44"/>
      <c r="R4934" s="44"/>
      <c r="S4934" s="44"/>
      <c r="T4934" s="44"/>
      <c r="U4934" s="44"/>
      <c r="V4934" s="44"/>
      <c r="W4934" s="44"/>
      <c r="X4934" s="44"/>
      <c r="Y4934" s="44"/>
    </row>
    <row r="4935" spans="14:25" ht="15" customHeight="1" x14ac:dyDescent="0.25">
      <c r="N4935" s="44"/>
      <c r="O4935" s="44"/>
      <c r="P4935" s="44"/>
      <c r="Q4935" s="44"/>
      <c r="R4935" s="44"/>
      <c r="S4935" s="44"/>
      <c r="T4935" s="44"/>
      <c r="U4935" s="44"/>
      <c r="V4935" s="44"/>
      <c r="W4935" s="44"/>
      <c r="X4935" s="44"/>
      <c r="Y4935" s="44"/>
    </row>
    <row r="4936" spans="14:25" ht="15" customHeight="1" x14ac:dyDescent="0.25">
      <c r="N4936" s="44"/>
      <c r="O4936" s="44"/>
      <c r="P4936" s="44"/>
      <c r="Q4936" s="44"/>
      <c r="R4936" s="44"/>
      <c r="S4936" s="44"/>
      <c r="T4936" s="44"/>
      <c r="U4936" s="44"/>
      <c r="V4936" s="44"/>
      <c r="W4936" s="44"/>
      <c r="X4936" s="44"/>
      <c r="Y4936" s="44"/>
    </row>
    <row r="4937" spans="14:25" ht="15" customHeight="1" x14ac:dyDescent="0.25">
      <c r="N4937" s="44"/>
      <c r="O4937" s="44"/>
      <c r="P4937" s="44"/>
      <c r="Q4937" s="44"/>
      <c r="R4937" s="44"/>
      <c r="S4937" s="44"/>
      <c r="T4937" s="44"/>
      <c r="U4937" s="44"/>
      <c r="V4937" s="44"/>
      <c r="W4937" s="44"/>
      <c r="X4937" s="44"/>
      <c r="Y4937" s="44"/>
    </row>
    <row r="4938" spans="14:25" ht="15" customHeight="1" x14ac:dyDescent="0.25">
      <c r="N4938" s="44"/>
      <c r="O4938" s="44"/>
      <c r="P4938" s="44"/>
      <c r="Q4938" s="44"/>
      <c r="R4938" s="44"/>
      <c r="S4938" s="44"/>
      <c r="T4938" s="44"/>
      <c r="U4938" s="44"/>
      <c r="V4938" s="44"/>
      <c r="W4938" s="44"/>
      <c r="X4938" s="44"/>
      <c r="Y4938" s="44"/>
    </row>
    <row r="4939" spans="14:25" ht="15" customHeight="1" x14ac:dyDescent="0.25">
      <c r="N4939" s="44"/>
      <c r="O4939" s="44"/>
      <c r="P4939" s="44"/>
      <c r="Q4939" s="44"/>
      <c r="R4939" s="44"/>
      <c r="S4939" s="44"/>
      <c r="T4939" s="44"/>
      <c r="U4939" s="44"/>
      <c r="V4939" s="44"/>
      <c r="W4939" s="44"/>
      <c r="X4939" s="44"/>
      <c r="Y4939" s="44"/>
    </row>
    <row r="4940" spans="14:25" ht="15" customHeight="1" x14ac:dyDescent="0.25">
      <c r="N4940" s="44"/>
      <c r="O4940" s="44"/>
      <c r="P4940" s="44"/>
      <c r="Q4940" s="44"/>
      <c r="R4940" s="44"/>
      <c r="S4940" s="44"/>
      <c r="T4940" s="44"/>
      <c r="U4940" s="44"/>
      <c r="V4940" s="44"/>
      <c r="W4940" s="44"/>
      <c r="X4940" s="44"/>
      <c r="Y4940" s="44"/>
    </row>
    <row r="4941" spans="14:25" ht="15" customHeight="1" x14ac:dyDescent="0.25">
      <c r="N4941" s="44"/>
      <c r="O4941" s="44"/>
      <c r="P4941" s="44"/>
      <c r="Q4941" s="44"/>
      <c r="R4941" s="44"/>
      <c r="S4941" s="44"/>
      <c r="T4941" s="44"/>
      <c r="U4941" s="44"/>
      <c r="V4941" s="44"/>
      <c r="W4941" s="44"/>
      <c r="X4941" s="44"/>
      <c r="Y4941" s="44"/>
    </row>
    <row r="4942" spans="14:25" ht="15" customHeight="1" x14ac:dyDescent="0.25">
      <c r="N4942" s="44"/>
      <c r="O4942" s="44"/>
      <c r="P4942" s="44"/>
      <c r="Q4942" s="44"/>
      <c r="R4942" s="44"/>
      <c r="S4942" s="44"/>
      <c r="T4942" s="44"/>
      <c r="U4942" s="44"/>
      <c r="V4942" s="44"/>
      <c r="W4942" s="44"/>
      <c r="X4942" s="44"/>
      <c r="Y4942" s="44"/>
    </row>
    <row r="4943" spans="14:25" ht="15" customHeight="1" x14ac:dyDescent="0.25">
      <c r="N4943" s="44"/>
      <c r="O4943" s="44"/>
      <c r="P4943" s="44"/>
      <c r="Q4943" s="44"/>
      <c r="R4943" s="44"/>
      <c r="S4943" s="44"/>
      <c r="T4943" s="44"/>
      <c r="U4943" s="44"/>
      <c r="V4943" s="44"/>
      <c r="W4943" s="44"/>
      <c r="X4943" s="44"/>
      <c r="Y4943" s="44"/>
    </row>
    <row r="4944" spans="14:25" ht="15" customHeight="1" x14ac:dyDescent="0.25">
      <c r="N4944" s="44"/>
      <c r="O4944" s="44"/>
      <c r="P4944" s="44"/>
      <c r="Q4944" s="44"/>
      <c r="R4944" s="44"/>
      <c r="S4944" s="44"/>
      <c r="T4944" s="44"/>
      <c r="U4944" s="44"/>
      <c r="V4944" s="44"/>
      <c r="W4944" s="44"/>
      <c r="X4944" s="44"/>
      <c r="Y4944" s="44"/>
    </row>
    <row r="4945" spans="14:25" ht="15" customHeight="1" x14ac:dyDescent="0.25">
      <c r="N4945" s="44"/>
      <c r="O4945" s="44"/>
      <c r="P4945" s="44"/>
      <c r="Q4945" s="44"/>
      <c r="R4945" s="44"/>
      <c r="S4945" s="44"/>
      <c r="T4945" s="44"/>
      <c r="U4945" s="44"/>
      <c r="V4945" s="44"/>
      <c r="W4945" s="44"/>
      <c r="X4945" s="44"/>
      <c r="Y4945" s="44"/>
    </row>
    <row r="4946" spans="14:25" ht="15" customHeight="1" x14ac:dyDescent="0.25">
      <c r="N4946" s="44"/>
      <c r="O4946" s="44"/>
      <c r="P4946" s="44"/>
      <c r="Q4946" s="44"/>
      <c r="R4946" s="44"/>
      <c r="S4946" s="44"/>
      <c r="T4946" s="44"/>
      <c r="U4946" s="44"/>
      <c r="V4946" s="44"/>
      <c r="W4946" s="44"/>
      <c r="X4946" s="44"/>
      <c r="Y4946" s="44"/>
    </row>
    <row r="4947" spans="14:25" ht="15" customHeight="1" x14ac:dyDescent="0.25">
      <c r="N4947" s="44"/>
      <c r="O4947" s="44"/>
      <c r="P4947" s="44"/>
      <c r="Q4947" s="44"/>
      <c r="R4947" s="44"/>
      <c r="S4947" s="44"/>
      <c r="T4947" s="44"/>
      <c r="U4947" s="44"/>
      <c r="V4947" s="44"/>
      <c r="W4947" s="44"/>
      <c r="X4947" s="44"/>
      <c r="Y4947" s="44"/>
    </row>
    <row r="4948" spans="14:25" ht="15" customHeight="1" x14ac:dyDescent="0.25">
      <c r="N4948" s="44"/>
      <c r="O4948" s="44"/>
      <c r="P4948" s="44"/>
      <c r="Q4948" s="44"/>
      <c r="R4948" s="44"/>
      <c r="S4948" s="44"/>
      <c r="T4948" s="44"/>
      <c r="U4948" s="44"/>
      <c r="V4948" s="44"/>
      <c r="W4948" s="44"/>
      <c r="X4948" s="44"/>
      <c r="Y4948" s="44"/>
    </row>
    <row r="4949" spans="14:25" ht="15" customHeight="1" x14ac:dyDescent="0.25">
      <c r="N4949" s="44"/>
      <c r="O4949" s="44"/>
      <c r="P4949" s="44"/>
      <c r="Q4949" s="44"/>
      <c r="R4949" s="44"/>
      <c r="S4949" s="44"/>
      <c r="T4949" s="44"/>
      <c r="U4949" s="44"/>
      <c r="V4949" s="44"/>
      <c r="W4949" s="44"/>
      <c r="X4949" s="44"/>
      <c r="Y4949" s="44"/>
    </row>
    <row r="4950" spans="14:25" ht="15" customHeight="1" x14ac:dyDescent="0.25">
      <c r="N4950" s="44"/>
      <c r="O4950" s="44"/>
      <c r="P4950" s="44"/>
      <c r="Q4950" s="44"/>
      <c r="R4950" s="44"/>
      <c r="S4950" s="44"/>
      <c r="T4950" s="44"/>
      <c r="U4950" s="44"/>
      <c r="V4950" s="44"/>
      <c r="W4950" s="44"/>
      <c r="X4950" s="44"/>
      <c r="Y4950" s="44"/>
    </row>
    <row r="4951" spans="14:25" ht="15" customHeight="1" x14ac:dyDescent="0.25">
      <c r="N4951" s="44"/>
      <c r="O4951" s="44"/>
      <c r="P4951" s="44"/>
      <c r="Q4951" s="44"/>
      <c r="R4951" s="44"/>
      <c r="S4951" s="44"/>
      <c r="T4951" s="44"/>
      <c r="U4951" s="44"/>
      <c r="V4951" s="44"/>
      <c r="W4951" s="44"/>
      <c r="X4951" s="44"/>
      <c r="Y4951" s="44"/>
    </row>
    <row r="4952" spans="14:25" ht="15" customHeight="1" x14ac:dyDescent="0.25">
      <c r="N4952" s="44"/>
      <c r="O4952" s="44"/>
      <c r="P4952" s="44"/>
      <c r="Q4952" s="44"/>
      <c r="R4952" s="44"/>
      <c r="S4952" s="44"/>
      <c r="T4952" s="44"/>
      <c r="U4952" s="44"/>
      <c r="V4952" s="44"/>
      <c r="W4952" s="44"/>
      <c r="X4952" s="44"/>
      <c r="Y4952" s="44"/>
    </row>
    <row r="4953" spans="14:25" ht="15" customHeight="1" x14ac:dyDescent="0.25">
      <c r="N4953" s="44"/>
      <c r="O4953" s="44"/>
      <c r="P4953" s="44"/>
      <c r="Q4953" s="44"/>
      <c r="R4953" s="44"/>
      <c r="S4953" s="44"/>
      <c r="T4953" s="44"/>
      <c r="U4953" s="44"/>
      <c r="V4953" s="44"/>
      <c r="W4953" s="44"/>
      <c r="X4953" s="44"/>
      <c r="Y4953" s="44"/>
    </row>
    <row r="4954" spans="14:25" ht="15" customHeight="1" x14ac:dyDescent="0.25">
      <c r="N4954" s="44"/>
      <c r="O4954" s="44"/>
      <c r="P4954" s="44"/>
      <c r="Q4954" s="44"/>
      <c r="R4954" s="44"/>
      <c r="S4954" s="44"/>
      <c r="T4954" s="44"/>
      <c r="U4954" s="44"/>
      <c r="V4954" s="44"/>
      <c r="W4954" s="44"/>
      <c r="X4954" s="44"/>
      <c r="Y4954" s="44"/>
    </row>
    <row r="4955" spans="14:25" ht="15" customHeight="1" x14ac:dyDescent="0.25">
      <c r="N4955" s="44"/>
      <c r="O4955" s="44"/>
      <c r="P4955" s="44"/>
      <c r="Q4955" s="44"/>
      <c r="R4955" s="44"/>
      <c r="S4955" s="44"/>
      <c r="T4955" s="44"/>
      <c r="U4955" s="44"/>
      <c r="V4955" s="44"/>
      <c r="W4955" s="44"/>
      <c r="X4955" s="44"/>
      <c r="Y4955" s="44"/>
    </row>
    <row r="4956" spans="14:25" ht="15" customHeight="1" x14ac:dyDescent="0.25">
      <c r="N4956" s="44"/>
      <c r="O4956" s="44"/>
      <c r="P4956" s="44"/>
      <c r="Q4956" s="44"/>
      <c r="R4956" s="44"/>
      <c r="S4956" s="44"/>
      <c r="T4956" s="44"/>
      <c r="U4956" s="44"/>
      <c r="V4956" s="44"/>
      <c r="W4956" s="44"/>
      <c r="X4956" s="44"/>
      <c r="Y4956" s="44"/>
    </row>
    <row r="4957" spans="14:25" ht="15" customHeight="1" x14ac:dyDescent="0.25">
      <c r="N4957" s="44"/>
      <c r="O4957" s="44"/>
      <c r="P4957" s="44"/>
      <c r="Q4957" s="44"/>
      <c r="R4957" s="44"/>
      <c r="S4957" s="44"/>
      <c r="T4957" s="44"/>
      <c r="U4957" s="44"/>
      <c r="V4957" s="44"/>
      <c r="W4957" s="44"/>
      <c r="X4957" s="44"/>
      <c r="Y4957" s="44"/>
    </row>
    <row r="4958" spans="14:25" ht="15" customHeight="1" x14ac:dyDescent="0.25">
      <c r="N4958" s="44"/>
      <c r="O4958" s="44"/>
      <c r="P4958" s="44"/>
      <c r="Q4958" s="44"/>
      <c r="R4958" s="44"/>
      <c r="S4958" s="44"/>
      <c r="T4958" s="44"/>
      <c r="U4958" s="44"/>
      <c r="V4958" s="44"/>
      <c r="W4958" s="44"/>
      <c r="X4958" s="44"/>
      <c r="Y4958" s="44"/>
    </row>
    <row r="4959" spans="14:25" ht="15" customHeight="1" x14ac:dyDescent="0.25">
      <c r="N4959" s="44"/>
      <c r="O4959" s="44"/>
      <c r="P4959" s="44"/>
      <c r="Q4959" s="44"/>
      <c r="R4959" s="44"/>
      <c r="S4959" s="44"/>
      <c r="T4959" s="44"/>
      <c r="U4959" s="44"/>
      <c r="V4959" s="44"/>
      <c r="W4959" s="44"/>
      <c r="X4959" s="44"/>
      <c r="Y4959" s="44"/>
    </row>
    <row r="4960" spans="14:25" ht="15" customHeight="1" x14ac:dyDescent="0.25">
      <c r="N4960" s="44"/>
      <c r="O4960" s="44"/>
      <c r="P4960" s="44"/>
      <c r="Q4960" s="44"/>
      <c r="R4960" s="44"/>
      <c r="S4960" s="44"/>
      <c r="T4960" s="44"/>
      <c r="U4960" s="44"/>
      <c r="V4960" s="44"/>
      <c r="W4960" s="44"/>
      <c r="X4960" s="44"/>
      <c r="Y4960" s="44"/>
    </row>
    <row r="4961" spans="14:25" ht="15" customHeight="1" x14ac:dyDescent="0.25">
      <c r="N4961" s="44"/>
      <c r="O4961" s="44"/>
      <c r="P4961" s="44"/>
      <c r="Q4961" s="44"/>
      <c r="R4961" s="44"/>
      <c r="S4961" s="44"/>
      <c r="T4961" s="44"/>
      <c r="U4961" s="44"/>
      <c r="V4961" s="44"/>
      <c r="W4961" s="44"/>
      <c r="X4961" s="44"/>
      <c r="Y4961" s="44"/>
    </row>
    <row r="4962" spans="14:25" ht="15" customHeight="1" x14ac:dyDescent="0.25">
      <c r="N4962" s="44"/>
      <c r="O4962" s="44"/>
      <c r="P4962" s="44"/>
      <c r="Q4962" s="44"/>
      <c r="R4962" s="44"/>
      <c r="S4962" s="44"/>
      <c r="T4962" s="44"/>
      <c r="U4962" s="44"/>
      <c r="V4962" s="44"/>
      <c r="W4962" s="44"/>
      <c r="X4962" s="44"/>
      <c r="Y4962" s="44"/>
    </row>
    <row r="4963" spans="14:25" ht="15" customHeight="1" x14ac:dyDescent="0.25">
      <c r="N4963" s="44"/>
      <c r="O4963" s="44"/>
      <c r="P4963" s="44"/>
      <c r="Q4963" s="44"/>
      <c r="R4963" s="44"/>
      <c r="S4963" s="44"/>
      <c r="T4963" s="44"/>
      <c r="U4963" s="44"/>
      <c r="V4963" s="44"/>
      <c r="W4963" s="44"/>
      <c r="X4963" s="44"/>
      <c r="Y4963" s="44"/>
    </row>
    <row r="4964" spans="14:25" ht="15" customHeight="1" x14ac:dyDescent="0.25">
      <c r="N4964" s="44"/>
      <c r="O4964" s="44"/>
      <c r="P4964" s="44"/>
      <c r="Q4964" s="44"/>
      <c r="R4964" s="44"/>
      <c r="S4964" s="44"/>
      <c r="T4964" s="44"/>
      <c r="U4964" s="44"/>
      <c r="V4964" s="44"/>
      <c r="W4964" s="44"/>
      <c r="X4964" s="44"/>
      <c r="Y4964" s="44"/>
    </row>
    <row r="4965" spans="14:25" ht="15" customHeight="1" x14ac:dyDescent="0.25">
      <c r="N4965" s="44"/>
      <c r="O4965" s="44"/>
      <c r="P4965" s="44"/>
      <c r="Q4965" s="44"/>
      <c r="R4965" s="44"/>
      <c r="S4965" s="44"/>
      <c r="T4965" s="44"/>
      <c r="U4965" s="44"/>
      <c r="V4965" s="44"/>
      <c r="W4965" s="44"/>
      <c r="X4965" s="44"/>
      <c r="Y4965" s="44"/>
    </row>
    <row r="4966" spans="14:25" ht="15" customHeight="1" x14ac:dyDescent="0.25">
      <c r="N4966" s="44"/>
      <c r="O4966" s="44"/>
      <c r="P4966" s="44"/>
      <c r="Q4966" s="44"/>
      <c r="R4966" s="44"/>
      <c r="S4966" s="44"/>
      <c r="T4966" s="44"/>
      <c r="U4966" s="44"/>
      <c r="V4966" s="44"/>
      <c r="W4966" s="44"/>
      <c r="X4966" s="44"/>
      <c r="Y4966" s="44"/>
    </row>
    <row r="4967" spans="14:25" ht="15" customHeight="1" x14ac:dyDescent="0.25">
      <c r="N4967" s="44"/>
      <c r="O4967" s="44"/>
      <c r="P4967" s="44"/>
      <c r="Q4967" s="44"/>
      <c r="R4967" s="44"/>
      <c r="S4967" s="44"/>
      <c r="T4967" s="44"/>
      <c r="U4967" s="44"/>
      <c r="V4967" s="44"/>
      <c r="W4967" s="44"/>
      <c r="X4967" s="44"/>
      <c r="Y4967" s="44"/>
    </row>
    <row r="4968" spans="14:25" ht="15" customHeight="1" x14ac:dyDescent="0.25">
      <c r="N4968" s="44"/>
      <c r="O4968" s="44"/>
      <c r="P4968" s="44"/>
      <c r="Q4968" s="44"/>
      <c r="R4968" s="44"/>
      <c r="S4968" s="44"/>
      <c r="T4968" s="44"/>
      <c r="U4968" s="44"/>
      <c r="V4968" s="44"/>
      <c r="W4968" s="44"/>
      <c r="X4968" s="44"/>
      <c r="Y4968" s="44"/>
    </row>
    <row r="4969" spans="14:25" ht="15" customHeight="1" x14ac:dyDescent="0.25">
      <c r="N4969" s="44"/>
      <c r="O4969" s="44"/>
      <c r="P4969" s="44"/>
      <c r="Q4969" s="44"/>
      <c r="R4969" s="44"/>
      <c r="S4969" s="44"/>
      <c r="T4969" s="44"/>
      <c r="U4969" s="44"/>
      <c r="V4969" s="44"/>
      <c r="W4969" s="44"/>
      <c r="X4969" s="44"/>
      <c r="Y4969" s="44"/>
    </row>
    <row r="4970" spans="14:25" ht="15" customHeight="1" x14ac:dyDescent="0.25">
      <c r="N4970" s="44"/>
      <c r="O4970" s="44"/>
      <c r="P4970" s="44"/>
      <c r="Q4970" s="44"/>
      <c r="R4970" s="44"/>
      <c r="S4970" s="44"/>
      <c r="T4970" s="44"/>
      <c r="U4970" s="44"/>
      <c r="V4970" s="44"/>
      <c r="W4970" s="44"/>
      <c r="X4970" s="44"/>
      <c r="Y4970" s="44"/>
    </row>
    <row r="4971" spans="14:25" ht="15" customHeight="1" x14ac:dyDescent="0.25">
      <c r="N4971" s="44"/>
      <c r="O4971" s="44"/>
      <c r="P4971" s="44"/>
      <c r="Q4971" s="44"/>
      <c r="R4971" s="44"/>
      <c r="S4971" s="44"/>
      <c r="T4971" s="44"/>
      <c r="U4971" s="44"/>
      <c r="V4971" s="44"/>
      <c r="W4971" s="44"/>
      <c r="X4971" s="44"/>
      <c r="Y4971" s="44"/>
    </row>
    <row r="4972" spans="14:25" ht="15" customHeight="1" x14ac:dyDescent="0.25">
      <c r="N4972" s="44"/>
      <c r="O4972" s="44"/>
      <c r="P4972" s="44"/>
      <c r="Q4972" s="44"/>
      <c r="R4972" s="44"/>
      <c r="S4972" s="44"/>
      <c r="T4972" s="44"/>
      <c r="U4972" s="44"/>
      <c r="V4972" s="44"/>
      <c r="W4972" s="44"/>
      <c r="X4972" s="44"/>
      <c r="Y4972" s="44"/>
    </row>
    <row r="4973" spans="14:25" ht="15" customHeight="1" x14ac:dyDescent="0.25">
      <c r="N4973" s="44"/>
      <c r="O4973" s="44"/>
      <c r="P4973" s="44"/>
      <c r="Q4973" s="44"/>
      <c r="R4973" s="44"/>
      <c r="S4973" s="44"/>
      <c r="T4973" s="44"/>
      <c r="U4973" s="44"/>
      <c r="V4973" s="44"/>
      <c r="W4973" s="44"/>
      <c r="X4973" s="44"/>
      <c r="Y4973" s="44"/>
    </row>
    <row r="4974" spans="14:25" ht="15" customHeight="1" x14ac:dyDescent="0.25">
      <c r="N4974" s="44"/>
      <c r="O4974" s="44"/>
      <c r="P4974" s="44"/>
      <c r="Q4974" s="44"/>
      <c r="R4974" s="44"/>
      <c r="S4974" s="44"/>
      <c r="T4974" s="44"/>
      <c r="U4974" s="44"/>
      <c r="V4974" s="44"/>
      <c r="W4974" s="44"/>
      <c r="X4974" s="44"/>
      <c r="Y4974" s="44"/>
    </row>
    <row r="4975" spans="14:25" ht="15" customHeight="1" x14ac:dyDescent="0.25">
      <c r="N4975" s="44"/>
      <c r="O4975" s="44"/>
      <c r="P4975" s="44"/>
      <c r="Q4975" s="44"/>
      <c r="R4975" s="44"/>
      <c r="S4975" s="44"/>
      <c r="T4975" s="44"/>
      <c r="U4975" s="44"/>
      <c r="V4975" s="44"/>
      <c r="W4975" s="44"/>
      <c r="X4975" s="44"/>
      <c r="Y4975" s="44"/>
    </row>
    <row r="4976" spans="14:25" ht="15" customHeight="1" x14ac:dyDescent="0.25">
      <c r="N4976" s="44"/>
      <c r="O4976" s="44"/>
      <c r="P4976" s="44"/>
      <c r="Q4976" s="44"/>
      <c r="R4976" s="44"/>
      <c r="S4976" s="44"/>
      <c r="T4976" s="44"/>
      <c r="U4976" s="44"/>
      <c r="V4976" s="44"/>
      <c r="W4976" s="44"/>
      <c r="X4976" s="44"/>
      <c r="Y4976" s="44"/>
    </row>
    <row r="4977" spans="14:25" ht="15" customHeight="1" x14ac:dyDescent="0.25">
      <c r="N4977" s="44"/>
      <c r="O4977" s="44"/>
      <c r="P4977" s="44"/>
      <c r="Q4977" s="44"/>
      <c r="R4977" s="44"/>
      <c r="S4977" s="44"/>
      <c r="T4977" s="44"/>
      <c r="U4977" s="44"/>
      <c r="V4977" s="44"/>
      <c r="W4977" s="44"/>
      <c r="X4977" s="44"/>
      <c r="Y4977" s="44"/>
    </row>
    <row r="4978" spans="14:25" ht="15" customHeight="1" x14ac:dyDescent="0.25">
      <c r="N4978" s="44"/>
      <c r="O4978" s="44"/>
      <c r="P4978" s="44"/>
      <c r="Q4978" s="44"/>
      <c r="R4978" s="44"/>
      <c r="S4978" s="44"/>
      <c r="T4978" s="44"/>
      <c r="U4978" s="44"/>
      <c r="V4978" s="44"/>
      <c r="W4978" s="44"/>
      <c r="X4978" s="44"/>
      <c r="Y4978" s="44"/>
    </row>
    <row r="4979" spans="14:25" ht="15" customHeight="1" x14ac:dyDescent="0.25">
      <c r="N4979" s="44"/>
      <c r="O4979" s="44"/>
      <c r="P4979" s="44"/>
      <c r="Q4979" s="44"/>
      <c r="R4979" s="44"/>
      <c r="S4979" s="44"/>
      <c r="T4979" s="44"/>
      <c r="U4979" s="44"/>
      <c r="V4979" s="44"/>
      <c r="W4979" s="44"/>
      <c r="X4979" s="44"/>
      <c r="Y4979" s="44"/>
    </row>
    <row r="4980" spans="14:25" ht="15" customHeight="1" x14ac:dyDescent="0.25">
      <c r="N4980" s="44"/>
      <c r="O4980" s="44"/>
      <c r="P4980" s="44"/>
      <c r="Q4980" s="44"/>
      <c r="R4980" s="44"/>
      <c r="S4980" s="44"/>
      <c r="T4980" s="44"/>
      <c r="U4980" s="44"/>
      <c r="V4980" s="44"/>
      <c r="W4980" s="44"/>
      <c r="X4980" s="44"/>
      <c r="Y4980" s="44"/>
    </row>
    <row r="4981" spans="14:25" ht="15" customHeight="1" x14ac:dyDescent="0.25">
      <c r="N4981" s="44"/>
      <c r="O4981" s="44"/>
      <c r="P4981" s="44"/>
      <c r="Q4981" s="44"/>
      <c r="R4981" s="44"/>
      <c r="S4981" s="44"/>
      <c r="T4981" s="44"/>
      <c r="U4981" s="44"/>
      <c r="V4981" s="44"/>
      <c r="W4981" s="44"/>
      <c r="X4981" s="44"/>
      <c r="Y4981" s="44"/>
    </row>
    <row r="4982" spans="14:25" ht="15" customHeight="1" x14ac:dyDescent="0.25">
      <c r="N4982" s="44"/>
      <c r="O4982" s="44"/>
      <c r="P4982" s="44"/>
      <c r="Q4982" s="44"/>
      <c r="R4982" s="44"/>
      <c r="S4982" s="44"/>
      <c r="T4982" s="44"/>
      <c r="U4982" s="44"/>
      <c r="V4982" s="44"/>
      <c r="W4982" s="44"/>
      <c r="X4982" s="44"/>
      <c r="Y4982" s="44"/>
    </row>
    <row r="4983" spans="14:25" ht="15" customHeight="1" x14ac:dyDescent="0.25">
      <c r="N4983" s="44"/>
      <c r="O4983" s="44"/>
      <c r="P4983" s="44"/>
      <c r="Q4983" s="44"/>
      <c r="R4983" s="44"/>
      <c r="S4983" s="44"/>
      <c r="T4983" s="44"/>
      <c r="U4983" s="44"/>
      <c r="V4983" s="44"/>
      <c r="W4983" s="44"/>
      <c r="X4983" s="44"/>
      <c r="Y4983" s="44"/>
    </row>
    <row r="4984" spans="14:25" ht="15" customHeight="1" x14ac:dyDescent="0.25">
      <c r="N4984" s="44"/>
      <c r="O4984" s="44"/>
      <c r="P4984" s="44"/>
      <c r="Q4984" s="44"/>
      <c r="R4984" s="44"/>
      <c r="S4984" s="44"/>
      <c r="T4984" s="44"/>
      <c r="U4984" s="44"/>
      <c r="V4984" s="44"/>
      <c r="W4984" s="44"/>
      <c r="X4984" s="44"/>
      <c r="Y4984" s="44"/>
    </row>
    <row r="4985" spans="14:25" ht="15" customHeight="1" x14ac:dyDescent="0.25">
      <c r="N4985" s="44"/>
      <c r="O4985" s="44"/>
      <c r="P4985" s="44"/>
      <c r="Q4985" s="44"/>
      <c r="R4985" s="44"/>
      <c r="S4985" s="44"/>
      <c r="T4985" s="44"/>
      <c r="U4985" s="44"/>
      <c r="V4985" s="44"/>
      <c r="W4985" s="44"/>
      <c r="X4985" s="44"/>
      <c r="Y4985" s="44"/>
    </row>
    <row r="4986" spans="14:25" ht="15" customHeight="1" x14ac:dyDescent="0.25">
      <c r="N4986" s="44"/>
      <c r="O4986" s="44"/>
      <c r="P4986" s="44"/>
      <c r="Q4986" s="44"/>
      <c r="R4986" s="44"/>
      <c r="S4986" s="44"/>
      <c r="T4986" s="44"/>
      <c r="U4986" s="44"/>
      <c r="V4986" s="44"/>
      <c r="W4986" s="44"/>
      <c r="X4986" s="44"/>
      <c r="Y4986" s="44"/>
    </row>
    <row r="4987" spans="14:25" ht="15" customHeight="1" x14ac:dyDescent="0.25">
      <c r="N4987" s="44"/>
      <c r="O4987" s="44"/>
      <c r="P4987" s="44"/>
      <c r="Q4987" s="44"/>
      <c r="R4987" s="44"/>
      <c r="S4987" s="44"/>
      <c r="T4987" s="44"/>
      <c r="U4987" s="44"/>
      <c r="V4987" s="44"/>
      <c r="W4987" s="44"/>
      <c r="X4987" s="44"/>
      <c r="Y4987" s="44"/>
    </row>
    <row r="4988" spans="14:25" ht="15" customHeight="1" x14ac:dyDescent="0.25">
      <c r="N4988" s="44"/>
      <c r="O4988" s="44"/>
      <c r="P4988" s="44"/>
      <c r="Q4988" s="44"/>
      <c r="R4988" s="44"/>
      <c r="S4988" s="44"/>
      <c r="T4988" s="44"/>
      <c r="U4988" s="44"/>
      <c r="V4988" s="44"/>
      <c r="W4988" s="44"/>
      <c r="X4988" s="44"/>
      <c r="Y4988" s="44"/>
    </row>
    <row r="4989" spans="14:25" ht="15" customHeight="1" x14ac:dyDescent="0.25">
      <c r="N4989" s="44"/>
      <c r="O4989" s="44"/>
      <c r="P4989" s="44"/>
      <c r="Q4989" s="44"/>
      <c r="R4989" s="44"/>
      <c r="S4989" s="44"/>
      <c r="T4989" s="44"/>
      <c r="U4989" s="44"/>
      <c r="V4989" s="44"/>
      <c r="W4989" s="44"/>
      <c r="X4989" s="44"/>
      <c r="Y4989" s="44"/>
    </row>
    <row r="4990" spans="14:25" ht="15" customHeight="1" x14ac:dyDescent="0.25">
      <c r="N4990" s="44"/>
      <c r="O4990" s="44"/>
      <c r="P4990" s="44"/>
      <c r="Q4990" s="44"/>
      <c r="R4990" s="44"/>
      <c r="S4990" s="44"/>
      <c r="T4990" s="44"/>
      <c r="U4990" s="44"/>
      <c r="V4990" s="44"/>
      <c r="W4990" s="44"/>
      <c r="X4990" s="44"/>
      <c r="Y4990" s="44"/>
    </row>
    <row r="4991" spans="14:25" ht="15" customHeight="1" x14ac:dyDescent="0.25">
      <c r="N4991" s="44"/>
      <c r="O4991" s="44"/>
      <c r="P4991" s="44"/>
      <c r="Q4991" s="44"/>
      <c r="R4991" s="44"/>
      <c r="S4991" s="44"/>
      <c r="T4991" s="44"/>
      <c r="U4991" s="44"/>
      <c r="V4991" s="44"/>
      <c r="W4991" s="44"/>
      <c r="X4991" s="44"/>
      <c r="Y4991" s="44"/>
    </row>
    <row r="4992" spans="14:25" ht="15" customHeight="1" x14ac:dyDescent="0.25">
      <c r="N4992" s="44"/>
      <c r="O4992" s="44"/>
      <c r="P4992" s="44"/>
      <c r="Q4992" s="44"/>
      <c r="R4992" s="44"/>
      <c r="S4992" s="44"/>
      <c r="T4992" s="44"/>
      <c r="U4992" s="44"/>
      <c r="V4992" s="44"/>
      <c r="W4992" s="44"/>
      <c r="X4992" s="44"/>
      <c r="Y4992" s="44"/>
    </row>
    <row r="4993" spans="14:25" ht="15" customHeight="1" x14ac:dyDescent="0.25">
      <c r="N4993" s="44"/>
      <c r="O4993" s="44"/>
      <c r="P4993" s="44"/>
      <c r="Q4993" s="44"/>
      <c r="R4993" s="44"/>
      <c r="S4993" s="44"/>
      <c r="T4993" s="44"/>
      <c r="U4993" s="44"/>
      <c r="V4993" s="44"/>
      <c r="W4993" s="44"/>
      <c r="X4993" s="44"/>
      <c r="Y4993" s="44"/>
    </row>
    <row r="4994" spans="14:25" ht="15" customHeight="1" x14ac:dyDescent="0.25">
      <c r="N4994" s="44"/>
      <c r="O4994" s="44"/>
      <c r="P4994" s="44"/>
      <c r="Q4994" s="44"/>
      <c r="R4994" s="44"/>
      <c r="S4994" s="44"/>
      <c r="T4994" s="44"/>
      <c r="U4994" s="44"/>
      <c r="V4994" s="44"/>
      <c r="W4994" s="44"/>
      <c r="X4994" s="44"/>
      <c r="Y4994" s="44"/>
    </row>
    <row r="4995" spans="14:25" ht="15" customHeight="1" x14ac:dyDescent="0.25">
      <c r="N4995" s="44"/>
      <c r="O4995" s="44"/>
      <c r="P4995" s="44"/>
      <c r="Q4995" s="44"/>
      <c r="R4995" s="44"/>
      <c r="S4995" s="44"/>
      <c r="T4995" s="44"/>
      <c r="U4995" s="44"/>
      <c r="V4995" s="44"/>
      <c r="W4995" s="44"/>
      <c r="X4995" s="44"/>
      <c r="Y4995" s="44"/>
    </row>
    <row r="4996" spans="14:25" ht="15" customHeight="1" x14ac:dyDescent="0.25">
      <c r="N4996" s="44"/>
      <c r="O4996" s="44"/>
      <c r="P4996" s="44"/>
      <c r="Q4996" s="44"/>
      <c r="R4996" s="44"/>
      <c r="S4996" s="44"/>
      <c r="T4996" s="44"/>
      <c r="U4996" s="44"/>
      <c r="V4996" s="44"/>
      <c r="W4996" s="44"/>
      <c r="X4996" s="44"/>
      <c r="Y4996" s="44"/>
    </row>
    <row r="4997" spans="14:25" ht="15" customHeight="1" x14ac:dyDescent="0.25">
      <c r="N4997" s="44"/>
      <c r="O4997" s="44"/>
      <c r="P4997" s="44"/>
      <c r="Q4997" s="44"/>
      <c r="R4997" s="44"/>
      <c r="S4997" s="44"/>
      <c r="T4997" s="44"/>
      <c r="U4997" s="44"/>
      <c r="V4997" s="44"/>
      <c r="W4997" s="44"/>
      <c r="X4997" s="44"/>
      <c r="Y4997" s="44"/>
    </row>
    <row r="4998" spans="14:25" ht="15" customHeight="1" x14ac:dyDescent="0.25">
      <c r="N4998" s="44"/>
      <c r="O4998" s="44"/>
      <c r="P4998" s="44"/>
      <c r="Q4998" s="44"/>
      <c r="R4998" s="44"/>
      <c r="S4998" s="44"/>
      <c r="T4998" s="44"/>
      <c r="U4998" s="44"/>
      <c r="V4998" s="44"/>
      <c r="W4998" s="44"/>
      <c r="X4998" s="44"/>
      <c r="Y4998" s="44"/>
    </row>
    <row r="4999" spans="14:25" ht="15" customHeight="1" x14ac:dyDescent="0.25">
      <c r="N4999" s="44"/>
      <c r="O4999" s="44"/>
      <c r="P4999" s="44"/>
      <c r="Q4999" s="44"/>
      <c r="R4999" s="44"/>
      <c r="S4999" s="44"/>
      <c r="T4999" s="44"/>
      <c r="U4999" s="44"/>
      <c r="V4999" s="44"/>
      <c r="W4999" s="44"/>
      <c r="X4999" s="44"/>
      <c r="Y4999" s="44"/>
    </row>
    <row r="5000" spans="14:25" ht="15" customHeight="1" x14ac:dyDescent="0.25">
      <c r="N5000" s="44"/>
      <c r="O5000" s="44"/>
      <c r="P5000" s="44"/>
      <c r="Q5000" s="44"/>
      <c r="R5000" s="44"/>
      <c r="S5000" s="44"/>
      <c r="T5000" s="44"/>
      <c r="U5000" s="44"/>
      <c r="V5000" s="44"/>
      <c r="W5000" s="44"/>
      <c r="X5000" s="44"/>
      <c r="Y5000" s="44"/>
    </row>
    <row r="5001" spans="14:25" ht="15" customHeight="1" x14ac:dyDescent="0.25">
      <c r="N5001" s="44"/>
      <c r="O5001" s="44"/>
      <c r="P5001" s="44"/>
      <c r="Q5001" s="44"/>
      <c r="R5001" s="44"/>
      <c r="S5001" s="44"/>
      <c r="T5001" s="44"/>
      <c r="U5001" s="44"/>
      <c r="V5001" s="44"/>
      <c r="W5001" s="44"/>
      <c r="X5001" s="44"/>
      <c r="Y5001" s="44"/>
    </row>
    <row r="5002" spans="14:25" ht="15" customHeight="1" x14ac:dyDescent="0.25">
      <c r="N5002" s="44"/>
      <c r="O5002" s="44"/>
      <c r="P5002" s="44"/>
      <c r="Q5002" s="44"/>
      <c r="R5002" s="44"/>
      <c r="S5002" s="44"/>
      <c r="T5002" s="44"/>
      <c r="U5002" s="44"/>
      <c r="V5002" s="44"/>
      <c r="W5002" s="44"/>
      <c r="X5002" s="44"/>
      <c r="Y5002" s="44"/>
    </row>
    <row r="5003" spans="14:25" ht="15" customHeight="1" x14ac:dyDescent="0.25">
      <c r="N5003" s="44"/>
      <c r="O5003" s="44"/>
      <c r="P5003" s="44"/>
      <c r="Q5003" s="44"/>
      <c r="R5003" s="44"/>
      <c r="S5003" s="44"/>
      <c r="T5003" s="44"/>
      <c r="U5003" s="44"/>
      <c r="V5003" s="44"/>
      <c r="W5003" s="44"/>
      <c r="X5003" s="44"/>
      <c r="Y5003" s="44"/>
    </row>
    <row r="5004" spans="14:25" ht="15" customHeight="1" x14ac:dyDescent="0.25">
      <c r="N5004" s="44"/>
      <c r="O5004" s="44"/>
      <c r="P5004" s="44"/>
      <c r="Q5004" s="44"/>
      <c r="R5004" s="44"/>
      <c r="S5004" s="44"/>
      <c r="T5004" s="44"/>
      <c r="U5004" s="44"/>
      <c r="V5004" s="44"/>
      <c r="W5004" s="44"/>
      <c r="X5004" s="44"/>
      <c r="Y5004" s="44"/>
    </row>
    <row r="5005" spans="14:25" ht="15" customHeight="1" x14ac:dyDescent="0.25">
      <c r="N5005" s="44"/>
      <c r="O5005" s="44"/>
      <c r="P5005" s="44"/>
      <c r="Q5005" s="44"/>
      <c r="R5005" s="44"/>
      <c r="S5005" s="44"/>
      <c r="T5005" s="44"/>
      <c r="U5005" s="44"/>
      <c r="V5005" s="44"/>
      <c r="W5005" s="44"/>
      <c r="X5005" s="44"/>
      <c r="Y5005" s="44"/>
    </row>
    <row r="5006" spans="14:25" ht="15" customHeight="1" x14ac:dyDescent="0.25">
      <c r="N5006" s="44"/>
      <c r="O5006" s="44"/>
      <c r="P5006" s="44"/>
      <c r="Q5006" s="44"/>
      <c r="R5006" s="44"/>
      <c r="S5006" s="44"/>
      <c r="T5006" s="44"/>
      <c r="U5006" s="44"/>
      <c r="V5006" s="44"/>
      <c r="W5006" s="44"/>
      <c r="X5006" s="44"/>
      <c r="Y5006" s="44"/>
    </row>
    <row r="5007" spans="14:25" ht="15" customHeight="1" x14ac:dyDescent="0.25">
      <c r="N5007" s="44"/>
      <c r="O5007" s="44"/>
      <c r="P5007" s="44"/>
      <c r="Q5007" s="44"/>
      <c r="R5007" s="44"/>
      <c r="S5007" s="44"/>
      <c r="T5007" s="44"/>
      <c r="U5007" s="44"/>
      <c r="V5007" s="44"/>
      <c r="W5007" s="44"/>
      <c r="X5007" s="44"/>
      <c r="Y5007" s="44"/>
    </row>
    <row r="5008" spans="14:25" ht="15" customHeight="1" x14ac:dyDescent="0.25">
      <c r="N5008" s="44"/>
      <c r="O5008" s="44"/>
      <c r="P5008" s="44"/>
      <c r="Q5008" s="44"/>
      <c r="R5008" s="44"/>
      <c r="S5008" s="44"/>
      <c r="T5008" s="44"/>
      <c r="U5008" s="44"/>
      <c r="V5008" s="44"/>
      <c r="W5008" s="44"/>
      <c r="X5008" s="44"/>
      <c r="Y5008" s="44"/>
    </row>
    <row r="5009" spans="14:25" ht="15" customHeight="1" x14ac:dyDescent="0.25">
      <c r="N5009" s="44"/>
      <c r="O5009" s="44"/>
      <c r="P5009" s="44"/>
      <c r="Q5009" s="44"/>
      <c r="R5009" s="44"/>
      <c r="S5009" s="44"/>
      <c r="T5009" s="44"/>
      <c r="U5009" s="44"/>
      <c r="V5009" s="44"/>
      <c r="W5009" s="44"/>
      <c r="X5009" s="44"/>
      <c r="Y5009" s="44"/>
    </row>
    <row r="5010" spans="14:25" ht="15" customHeight="1" x14ac:dyDescent="0.25">
      <c r="N5010" s="44"/>
      <c r="O5010" s="44"/>
      <c r="P5010" s="44"/>
      <c r="Q5010" s="44"/>
      <c r="R5010" s="44"/>
      <c r="S5010" s="44"/>
      <c r="T5010" s="44"/>
      <c r="U5010" s="44"/>
      <c r="V5010" s="44"/>
      <c r="W5010" s="44"/>
      <c r="X5010" s="44"/>
      <c r="Y5010" s="44"/>
    </row>
    <row r="5011" spans="14:25" ht="15" customHeight="1" x14ac:dyDescent="0.25">
      <c r="N5011" s="44"/>
      <c r="O5011" s="44"/>
      <c r="P5011" s="44"/>
      <c r="Q5011" s="44"/>
      <c r="R5011" s="44"/>
      <c r="S5011" s="44"/>
      <c r="T5011" s="44"/>
      <c r="U5011" s="44"/>
      <c r="V5011" s="44"/>
      <c r="W5011" s="44"/>
      <c r="X5011" s="44"/>
      <c r="Y5011" s="44"/>
    </row>
    <row r="5012" spans="14:25" ht="15" customHeight="1" x14ac:dyDescent="0.25">
      <c r="N5012" s="44"/>
      <c r="O5012" s="44"/>
      <c r="P5012" s="44"/>
      <c r="Q5012" s="44"/>
      <c r="R5012" s="44"/>
      <c r="S5012" s="44"/>
      <c r="T5012" s="44"/>
      <c r="U5012" s="44"/>
      <c r="V5012" s="44"/>
      <c r="W5012" s="44"/>
      <c r="X5012" s="44"/>
      <c r="Y5012" s="44"/>
    </row>
    <row r="5013" spans="14:25" ht="15" customHeight="1" x14ac:dyDescent="0.25">
      <c r="N5013" s="44"/>
      <c r="O5013" s="44"/>
      <c r="P5013" s="44"/>
      <c r="Q5013" s="44"/>
      <c r="R5013" s="44"/>
      <c r="S5013" s="44"/>
      <c r="T5013" s="44"/>
      <c r="U5013" s="44"/>
      <c r="V5013" s="44"/>
      <c r="W5013" s="44"/>
      <c r="X5013" s="44"/>
      <c r="Y5013" s="44"/>
    </row>
    <row r="5014" spans="14:25" ht="15" customHeight="1" x14ac:dyDescent="0.25">
      <c r="N5014" s="44"/>
      <c r="O5014" s="44"/>
      <c r="P5014" s="44"/>
      <c r="Q5014" s="44"/>
      <c r="R5014" s="44"/>
      <c r="S5014" s="44"/>
      <c r="T5014" s="44"/>
      <c r="U5014" s="44"/>
      <c r="V5014" s="44"/>
      <c r="W5014" s="44"/>
      <c r="X5014" s="44"/>
      <c r="Y5014" s="44"/>
    </row>
    <row r="5015" spans="14:25" ht="15" customHeight="1" x14ac:dyDescent="0.25">
      <c r="N5015" s="44"/>
      <c r="O5015" s="44"/>
      <c r="P5015" s="44"/>
      <c r="Q5015" s="44"/>
      <c r="R5015" s="44"/>
      <c r="S5015" s="44"/>
      <c r="T5015" s="44"/>
      <c r="U5015" s="44"/>
      <c r="V5015" s="44"/>
      <c r="W5015" s="44"/>
      <c r="X5015" s="44"/>
      <c r="Y5015" s="44"/>
    </row>
    <row r="5016" spans="14:25" ht="15" customHeight="1" x14ac:dyDescent="0.25">
      <c r="N5016" s="44"/>
      <c r="O5016" s="44"/>
      <c r="P5016" s="44"/>
      <c r="Q5016" s="44"/>
      <c r="R5016" s="44"/>
      <c r="S5016" s="44"/>
      <c r="T5016" s="44"/>
      <c r="U5016" s="44"/>
      <c r="V5016" s="44"/>
      <c r="W5016" s="44"/>
      <c r="X5016" s="44"/>
      <c r="Y5016" s="44"/>
    </row>
    <row r="5017" spans="14:25" ht="15" customHeight="1" x14ac:dyDescent="0.25">
      <c r="N5017" s="44"/>
      <c r="O5017" s="44"/>
      <c r="P5017" s="44"/>
      <c r="Q5017" s="44"/>
      <c r="R5017" s="44"/>
      <c r="S5017" s="44"/>
      <c r="T5017" s="44"/>
      <c r="U5017" s="44"/>
      <c r="V5017" s="44"/>
      <c r="W5017" s="44"/>
      <c r="X5017" s="44"/>
      <c r="Y5017" s="44"/>
    </row>
    <row r="5018" spans="14:25" ht="15" customHeight="1" x14ac:dyDescent="0.25">
      <c r="N5018" s="44"/>
      <c r="O5018" s="44"/>
      <c r="P5018" s="44"/>
      <c r="Q5018" s="44"/>
      <c r="R5018" s="44"/>
      <c r="S5018" s="44"/>
      <c r="T5018" s="44"/>
      <c r="U5018" s="44"/>
      <c r="V5018" s="44"/>
      <c r="W5018" s="44"/>
      <c r="X5018" s="44"/>
      <c r="Y5018" s="44"/>
    </row>
    <row r="5019" spans="14:25" ht="15" customHeight="1" x14ac:dyDescent="0.25">
      <c r="N5019" s="44"/>
      <c r="O5019" s="44"/>
      <c r="P5019" s="44"/>
      <c r="Q5019" s="44"/>
      <c r="R5019" s="44"/>
      <c r="S5019" s="44"/>
      <c r="T5019" s="44"/>
      <c r="U5019" s="44"/>
      <c r="V5019" s="44"/>
      <c r="W5019" s="44"/>
      <c r="X5019" s="44"/>
      <c r="Y5019" s="44"/>
    </row>
    <row r="5020" spans="14:25" ht="15" customHeight="1" x14ac:dyDescent="0.25">
      <c r="N5020" s="44"/>
      <c r="O5020" s="44"/>
      <c r="P5020" s="44"/>
      <c r="Q5020" s="44"/>
      <c r="R5020" s="44"/>
      <c r="S5020" s="44"/>
      <c r="T5020" s="44"/>
      <c r="U5020" s="44"/>
      <c r="V5020" s="44"/>
      <c r="W5020" s="44"/>
      <c r="X5020" s="44"/>
      <c r="Y5020" s="44"/>
    </row>
    <row r="5021" spans="14:25" ht="15" customHeight="1" x14ac:dyDescent="0.25">
      <c r="N5021" s="44"/>
      <c r="O5021" s="44"/>
      <c r="P5021" s="44"/>
      <c r="Q5021" s="44"/>
      <c r="R5021" s="44"/>
      <c r="S5021" s="44"/>
      <c r="T5021" s="44"/>
      <c r="U5021" s="44"/>
      <c r="V5021" s="44"/>
      <c r="W5021" s="44"/>
      <c r="X5021" s="44"/>
      <c r="Y5021" s="44"/>
    </row>
    <row r="5022" spans="14:25" ht="15" customHeight="1" x14ac:dyDescent="0.25">
      <c r="N5022" s="44"/>
      <c r="O5022" s="44"/>
      <c r="P5022" s="44"/>
      <c r="Q5022" s="44"/>
      <c r="R5022" s="44"/>
      <c r="S5022" s="44"/>
      <c r="T5022" s="44"/>
      <c r="U5022" s="44"/>
      <c r="V5022" s="44"/>
      <c r="W5022" s="44"/>
      <c r="X5022" s="44"/>
      <c r="Y5022" s="44"/>
    </row>
    <row r="5023" spans="14:25" ht="15" customHeight="1" x14ac:dyDescent="0.25">
      <c r="N5023" s="44"/>
      <c r="O5023" s="44"/>
      <c r="P5023" s="44"/>
      <c r="Q5023" s="44"/>
      <c r="R5023" s="44"/>
      <c r="S5023" s="44"/>
      <c r="T5023" s="44"/>
      <c r="U5023" s="44"/>
      <c r="V5023" s="44"/>
      <c r="W5023" s="44"/>
      <c r="X5023" s="44"/>
      <c r="Y5023" s="44"/>
    </row>
    <row r="5024" spans="14:25" ht="15" customHeight="1" x14ac:dyDescent="0.25">
      <c r="N5024" s="44"/>
      <c r="O5024" s="44"/>
      <c r="P5024" s="44"/>
      <c r="Q5024" s="44"/>
      <c r="R5024" s="44"/>
      <c r="S5024" s="44"/>
      <c r="T5024" s="44"/>
      <c r="U5024" s="44"/>
      <c r="V5024" s="44"/>
      <c r="W5024" s="44"/>
      <c r="X5024" s="44"/>
      <c r="Y5024" s="44"/>
    </row>
    <row r="5025" spans="14:25" ht="15" customHeight="1" x14ac:dyDescent="0.25">
      <c r="N5025" s="44"/>
      <c r="O5025" s="44"/>
      <c r="P5025" s="44"/>
      <c r="Q5025" s="44"/>
      <c r="R5025" s="44"/>
      <c r="S5025" s="44"/>
      <c r="T5025" s="44"/>
      <c r="U5025" s="44"/>
      <c r="V5025" s="44"/>
      <c r="W5025" s="44"/>
      <c r="X5025" s="44"/>
      <c r="Y5025" s="44"/>
    </row>
    <row r="5026" spans="14:25" ht="15" customHeight="1" x14ac:dyDescent="0.25">
      <c r="N5026" s="44"/>
      <c r="O5026" s="44"/>
      <c r="P5026" s="44"/>
      <c r="Q5026" s="44"/>
      <c r="R5026" s="44"/>
      <c r="S5026" s="44"/>
      <c r="T5026" s="44"/>
      <c r="U5026" s="44"/>
      <c r="V5026" s="44"/>
      <c r="W5026" s="44"/>
      <c r="X5026" s="44"/>
      <c r="Y5026" s="44"/>
    </row>
    <row r="5027" spans="14:25" ht="15" customHeight="1" x14ac:dyDescent="0.25">
      <c r="N5027" s="44"/>
      <c r="O5027" s="44"/>
      <c r="P5027" s="44"/>
      <c r="Q5027" s="44"/>
      <c r="R5027" s="44"/>
      <c r="S5027" s="44"/>
      <c r="T5027" s="44"/>
      <c r="U5027" s="44"/>
      <c r="V5027" s="44"/>
      <c r="W5027" s="44"/>
      <c r="X5027" s="44"/>
      <c r="Y5027" s="44"/>
    </row>
    <row r="5028" spans="14:25" ht="15" customHeight="1" x14ac:dyDescent="0.25">
      <c r="N5028" s="44"/>
      <c r="O5028" s="44"/>
      <c r="P5028" s="44"/>
      <c r="Q5028" s="44"/>
      <c r="R5028" s="44"/>
      <c r="S5028" s="44"/>
      <c r="T5028" s="44"/>
      <c r="U5028" s="44"/>
      <c r="V5028" s="44"/>
      <c r="W5028" s="44"/>
      <c r="X5028" s="44"/>
      <c r="Y5028" s="44"/>
    </row>
    <row r="5029" spans="14:25" ht="15" customHeight="1" x14ac:dyDescent="0.25">
      <c r="N5029" s="44"/>
      <c r="O5029" s="44"/>
      <c r="P5029" s="44"/>
      <c r="Q5029" s="44"/>
      <c r="R5029" s="44"/>
      <c r="S5029" s="44"/>
      <c r="T5029" s="44"/>
      <c r="U5029" s="44"/>
      <c r="V5029" s="44"/>
      <c r="W5029" s="44"/>
      <c r="X5029" s="44"/>
      <c r="Y5029" s="44"/>
    </row>
    <row r="5030" spans="14:25" ht="15" customHeight="1" x14ac:dyDescent="0.25">
      <c r="N5030" s="44"/>
      <c r="O5030" s="44"/>
      <c r="P5030" s="44"/>
      <c r="Q5030" s="44"/>
      <c r="R5030" s="44"/>
      <c r="S5030" s="44"/>
      <c r="T5030" s="44"/>
      <c r="U5030" s="44"/>
      <c r="V5030" s="44"/>
      <c r="W5030" s="44"/>
      <c r="X5030" s="44"/>
      <c r="Y5030" s="44"/>
    </row>
    <row r="5031" spans="14:25" ht="15" customHeight="1" x14ac:dyDescent="0.25">
      <c r="N5031" s="44"/>
      <c r="O5031" s="44"/>
      <c r="P5031" s="44"/>
      <c r="Q5031" s="44"/>
      <c r="R5031" s="44"/>
      <c r="S5031" s="44"/>
      <c r="T5031" s="44"/>
      <c r="U5031" s="44"/>
      <c r="V5031" s="44"/>
      <c r="W5031" s="44"/>
      <c r="X5031" s="44"/>
      <c r="Y5031" s="44"/>
    </row>
    <row r="5032" spans="14:25" ht="15" customHeight="1" x14ac:dyDescent="0.25">
      <c r="N5032" s="44"/>
      <c r="O5032" s="44"/>
      <c r="P5032" s="44"/>
      <c r="Q5032" s="44"/>
      <c r="R5032" s="44"/>
      <c r="S5032" s="44"/>
      <c r="T5032" s="44"/>
      <c r="U5032" s="44"/>
      <c r="V5032" s="44"/>
      <c r="W5032" s="44"/>
      <c r="X5032" s="44"/>
      <c r="Y5032" s="44"/>
    </row>
    <row r="5033" spans="14:25" ht="15" customHeight="1" x14ac:dyDescent="0.25">
      <c r="N5033" s="44"/>
      <c r="O5033" s="44"/>
      <c r="P5033" s="44"/>
      <c r="Q5033" s="44"/>
      <c r="R5033" s="44"/>
      <c r="S5033" s="44"/>
      <c r="T5033" s="44"/>
      <c r="U5033" s="44"/>
      <c r="V5033" s="44"/>
      <c r="W5033" s="44"/>
      <c r="X5033" s="44"/>
      <c r="Y5033" s="44"/>
    </row>
    <row r="5034" spans="14:25" ht="15" customHeight="1" x14ac:dyDescent="0.25">
      <c r="N5034" s="44"/>
      <c r="O5034" s="44"/>
      <c r="P5034" s="44"/>
      <c r="Q5034" s="44"/>
      <c r="R5034" s="44"/>
      <c r="S5034" s="44"/>
      <c r="T5034" s="44"/>
      <c r="U5034" s="44"/>
      <c r="V5034" s="44"/>
      <c r="W5034" s="44"/>
      <c r="X5034" s="44"/>
      <c r="Y5034" s="44"/>
    </row>
    <row r="5035" spans="14:25" ht="15" customHeight="1" x14ac:dyDescent="0.25">
      <c r="N5035" s="44"/>
      <c r="O5035" s="44"/>
      <c r="P5035" s="44"/>
      <c r="Q5035" s="44"/>
      <c r="R5035" s="44"/>
      <c r="S5035" s="44"/>
      <c r="T5035" s="44"/>
      <c r="U5035" s="44"/>
      <c r="V5035" s="44"/>
      <c r="W5035" s="44"/>
      <c r="X5035" s="44"/>
      <c r="Y5035" s="44"/>
    </row>
    <row r="5036" spans="14:25" ht="15" customHeight="1" x14ac:dyDescent="0.25">
      <c r="N5036" s="44"/>
      <c r="O5036" s="44"/>
      <c r="P5036" s="44"/>
      <c r="Q5036" s="44"/>
      <c r="R5036" s="44"/>
      <c r="S5036" s="44"/>
      <c r="T5036" s="44"/>
      <c r="U5036" s="44"/>
      <c r="V5036" s="44"/>
      <c r="W5036" s="44"/>
      <c r="X5036" s="44"/>
      <c r="Y5036" s="44"/>
    </row>
    <row r="5037" spans="14:25" ht="15" customHeight="1" x14ac:dyDescent="0.25">
      <c r="N5037" s="44"/>
      <c r="O5037" s="44"/>
      <c r="P5037" s="44"/>
      <c r="Q5037" s="44"/>
      <c r="R5037" s="44"/>
      <c r="S5037" s="44"/>
      <c r="T5037" s="44"/>
      <c r="U5037" s="44"/>
      <c r="V5037" s="44"/>
      <c r="W5037" s="44"/>
      <c r="X5037" s="44"/>
      <c r="Y5037" s="44"/>
    </row>
    <row r="5038" spans="14:25" ht="15" customHeight="1" x14ac:dyDescent="0.25">
      <c r="N5038" s="44"/>
      <c r="O5038" s="44"/>
      <c r="P5038" s="44"/>
      <c r="Q5038" s="44"/>
      <c r="R5038" s="44"/>
      <c r="S5038" s="44"/>
      <c r="T5038" s="44"/>
      <c r="U5038" s="44"/>
      <c r="V5038" s="44"/>
      <c r="W5038" s="44"/>
      <c r="X5038" s="44"/>
      <c r="Y5038" s="44"/>
    </row>
    <row r="5039" spans="14:25" ht="15" customHeight="1" x14ac:dyDescent="0.25">
      <c r="N5039" s="44"/>
      <c r="O5039" s="44"/>
      <c r="P5039" s="44"/>
      <c r="Q5039" s="44"/>
      <c r="R5039" s="44"/>
      <c r="S5039" s="44"/>
      <c r="T5039" s="44"/>
      <c r="U5039" s="44"/>
      <c r="V5039" s="44"/>
      <c r="W5039" s="44"/>
      <c r="X5039" s="44"/>
      <c r="Y5039" s="44"/>
    </row>
    <row r="5040" spans="14:25" ht="15" customHeight="1" x14ac:dyDescent="0.25">
      <c r="N5040" s="44"/>
      <c r="O5040" s="44"/>
      <c r="P5040" s="44"/>
      <c r="Q5040" s="44"/>
      <c r="R5040" s="44"/>
      <c r="S5040" s="44"/>
      <c r="T5040" s="44"/>
      <c r="U5040" s="44"/>
      <c r="V5040" s="44"/>
      <c r="W5040" s="44"/>
      <c r="X5040" s="44"/>
      <c r="Y5040" s="44"/>
    </row>
    <row r="5041" spans="14:25" ht="15" customHeight="1" x14ac:dyDescent="0.25">
      <c r="N5041" s="44"/>
      <c r="O5041" s="44"/>
      <c r="P5041" s="44"/>
      <c r="Q5041" s="44"/>
      <c r="R5041" s="44"/>
      <c r="S5041" s="44"/>
      <c r="T5041" s="44"/>
      <c r="U5041" s="44"/>
      <c r="V5041" s="44"/>
      <c r="W5041" s="44"/>
      <c r="X5041" s="44"/>
      <c r="Y5041" s="44"/>
    </row>
    <row r="5042" spans="14:25" ht="15" customHeight="1" x14ac:dyDescent="0.25">
      <c r="N5042" s="44"/>
      <c r="O5042" s="44"/>
      <c r="P5042" s="44"/>
      <c r="Q5042" s="44"/>
      <c r="R5042" s="44"/>
      <c r="S5042" s="44"/>
      <c r="T5042" s="44"/>
      <c r="U5042" s="44"/>
      <c r="V5042" s="44"/>
      <c r="W5042" s="44"/>
      <c r="X5042" s="44"/>
      <c r="Y5042" s="44"/>
    </row>
    <row r="5043" spans="14:25" ht="15" customHeight="1" x14ac:dyDescent="0.25">
      <c r="N5043" s="44"/>
      <c r="O5043" s="44"/>
      <c r="P5043" s="44"/>
      <c r="Q5043" s="44"/>
      <c r="R5043" s="44"/>
      <c r="S5043" s="44"/>
      <c r="T5043" s="44"/>
      <c r="U5043" s="44"/>
      <c r="V5043" s="44"/>
      <c r="W5043" s="44"/>
      <c r="X5043" s="44"/>
      <c r="Y5043" s="44"/>
    </row>
    <row r="5044" spans="14:25" ht="15" customHeight="1" x14ac:dyDescent="0.25">
      <c r="N5044" s="44"/>
      <c r="O5044" s="44"/>
      <c r="P5044" s="44"/>
      <c r="Q5044" s="44"/>
      <c r="R5044" s="44"/>
      <c r="S5044" s="44"/>
      <c r="T5044" s="44"/>
      <c r="U5044" s="44"/>
      <c r="V5044" s="44"/>
      <c r="W5044" s="44"/>
      <c r="X5044" s="44"/>
      <c r="Y5044" s="44"/>
    </row>
    <row r="5045" spans="14:25" ht="15" customHeight="1" x14ac:dyDescent="0.25">
      <c r="N5045" s="44"/>
      <c r="O5045" s="44"/>
      <c r="P5045" s="44"/>
      <c r="Q5045" s="44"/>
      <c r="R5045" s="44"/>
      <c r="S5045" s="44"/>
      <c r="T5045" s="44"/>
      <c r="U5045" s="44"/>
      <c r="V5045" s="44"/>
      <c r="W5045" s="44"/>
      <c r="X5045" s="44"/>
      <c r="Y5045" s="44"/>
    </row>
    <row r="5046" spans="14:25" ht="15" customHeight="1" x14ac:dyDescent="0.25">
      <c r="N5046" s="44"/>
      <c r="O5046" s="44"/>
      <c r="P5046" s="44"/>
      <c r="Q5046" s="44"/>
      <c r="R5046" s="44"/>
      <c r="S5046" s="44"/>
      <c r="T5046" s="44"/>
      <c r="U5046" s="44"/>
      <c r="V5046" s="44"/>
      <c r="W5046" s="44"/>
      <c r="X5046" s="44"/>
      <c r="Y5046" s="44"/>
    </row>
    <row r="5047" spans="14:25" ht="15" customHeight="1" x14ac:dyDescent="0.25">
      <c r="N5047" s="44"/>
      <c r="O5047" s="44"/>
      <c r="P5047" s="44"/>
      <c r="Q5047" s="44"/>
      <c r="R5047" s="44"/>
      <c r="S5047" s="44"/>
      <c r="T5047" s="44"/>
      <c r="U5047" s="44"/>
      <c r="V5047" s="44"/>
      <c r="W5047" s="44"/>
      <c r="X5047" s="44"/>
      <c r="Y5047" s="44"/>
    </row>
    <row r="5048" spans="14:25" ht="15" customHeight="1" x14ac:dyDescent="0.25">
      <c r="N5048" s="44"/>
      <c r="O5048" s="44"/>
      <c r="P5048" s="44"/>
      <c r="Q5048" s="44"/>
      <c r="R5048" s="44"/>
      <c r="S5048" s="44"/>
      <c r="T5048" s="44"/>
      <c r="U5048" s="44"/>
      <c r="V5048" s="44"/>
      <c r="W5048" s="44"/>
      <c r="X5048" s="44"/>
      <c r="Y5048" s="44"/>
    </row>
    <row r="5049" spans="14:25" ht="15" customHeight="1" x14ac:dyDescent="0.25">
      <c r="N5049" s="44"/>
      <c r="O5049" s="44"/>
      <c r="P5049" s="44"/>
      <c r="Q5049" s="44"/>
      <c r="R5049" s="44"/>
      <c r="S5049" s="44"/>
      <c r="T5049" s="44"/>
      <c r="U5049" s="44"/>
      <c r="V5049" s="44"/>
      <c r="W5049" s="44"/>
      <c r="X5049" s="44"/>
      <c r="Y5049" s="44"/>
    </row>
    <row r="5050" spans="14:25" ht="15" customHeight="1" x14ac:dyDescent="0.25">
      <c r="N5050" s="44"/>
      <c r="O5050" s="44"/>
      <c r="P5050" s="44"/>
      <c r="Q5050" s="44"/>
      <c r="R5050" s="44"/>
      <c r="S5050" s="44"/>
      <c r="T5050" s="44"/>
      <c r="U5050" s="44"/>
      <c r="V5050" s="44"/>
      <c r="W5050" s="44"/>
      <c r="X5050" s="44"/>
      <c r="Y5050" s="44"/>
    </row>
    <row r="5051" spans="14:25" ht="15" customHeight="1" x14ac:dyDescent="0.25">
      <c r="N5051" s="44"/>
      <c r="O5051" s="44"/>
      <c r="P5051" s="44"/>
      <c r="Q5051" s="44"/>
      <c r="R5051" s="44"/>
      <c r="S5051" s="44"/>
      <c r="T5051" s="44"/>
      <c r="U5051" s="44"/>
      <c r="V5051" s="44"/>
      <c r="W5051" s="44"/>
      <c r="X5051" s="44"/>
      <c r="Y5051" s="44"/>
    </row>
    <row r="5052" spans="14:25" ht="15" customHeight="1" x14ac:dyDescent="0.25">
      <c r="N5052" s="44"/>
      <c r="O5052" s="44"/>
      <c r="P5052" s="44"/>
      <c r="Q5052" s="44"/>
      <c r="R5052" s="44"/>
      <c r="S5052" s="44"/>
      <c r="T5052" s="44"/>
      <c r="U5052" s="44"/>
      <c r="V5052" s="44"/>
      <c r="W5052" s="44"/>
      <c r="X5052" s="44"/>
      <c r="Y5052" s="44"/>
    </row>
    <row r="5053" spans="14:25" ht="15" customHeight="1" x14ac:dyDescent="0.25">
      <c r="N5053" s="44"/>
      <c r="O5053" s="44"/>
      <c r="P5053" s="44"/>
      <c r="Q5053" s="44"/>
      <c r="R5053" s="44"/>
      <c r="S5053" s="44"/>
      <c r="T5053" s="44"/>
      <c r="U5053" s="44"/>
      <c r="V5053" s="44"/>
      <c r="W5053" s="44"/>
      <c r="X5053" s="44"/>
      <c r="Y5053" s="44"/>
    </row>
    <row r="5054" spans="14:25" ht="15" customHeight="1" x14ac:dyDescent="0.25">
      <c r="N5054" s="44"/>
      <c r="O5054" s="44"/>
      <c r="P5054" s="44"/>
      <c r="Q5054" s="44"/>
      <c r="R5054" s="44"/>
      <c r="S5054" s="44"/>
      <c r="T5054" s="44"/>
      <c r="U5054" s="44"/>
      <c r="V5054" s="44"/>
      <c r="W5054" s="44"/>
      <c r="X5054" s="44"/>
      <c r="Y5054" s="44"/>
    </row>
    <row r="5055" spans="14:25" ht="15" customHeight="1" x14ac:dyDescent="0.25">
      <c r="N5055" s="44"/>
      <c r="O5055" s="44"/>
      <c r="P5055" s="44"/>
      <c r="Q5055" s="44"/>
      <c r="R5055" s="44"/>
      <c r="S5055" s="44"/>
      <c r="T5055" s="44"/>
      <c r="U5055" s="44"/>
      <c r="V5055" s="44"/>
      <c r="W5055" s="44"/>
      <c r="X5055" s="44"/>
      <c r="Y5055" s="44"/>
    </row>
    <row r="5056" spans="14:25" ht="15" customHeight="1" x14ac:dyDescent="0.25">
      <c r="N5056" s="44"/>
      <c r="O5056" s="44"/>
      <c r="P5056" s="44"/>
      <c r="Q5056" s="44"/>
      <c r="R5056" s="44"/>
      <c r="S5056" s="44"/>
      <c r="T5056" s="44"/>
      <c r="U5056" s="44"/>
      <c r="V5056" s="44"/>
      <c r="W5056" s="44"/>
      <c r="X5056" s="44"/>
      <c r="Y5056" s="44"/>
    </row>
    <row r="5057" spans="14:25" ht="15" customHeight="1" x14ac:dyDescent="0.25">
      <c r="N5057" s="44"/>
      <c r="O5057" s="44"/>
      <c r="P5057" s="44"/>
      <c r="Q5057" s="44"/>
      <c r="R5057" s="44"/>
      <c r="S5057" s="44"/>
      <c r="T5057" s="44"/>
      <c r="U5057" s="44"/>
      <c r="V5057" s="44"/>
      <c r="W5057" s="44"/>
      <c r="X5057" s="44"/>
      <c r="Y5057" s="44"/>
    </row>
    <row r="5058" spans="14:25" ht="15" customHeight="1" x14ac:dyDescent="0.25">
      <c r="N5058" s="44"/>
      <c r="O5058" s="44"/>
      <c r="P5058" s="44"/>
      <c r="Q5058" s="44"/>
      <c r="R5058" s="44"/>
      <c r="S5058" s="44"/>
      <c r="T5058" s="44"/>
      <c r="U5058" s="44"/>
      <c r="V5058" s="44"/>
      <c r="W5058" s="44"/>
      <c r="X5058" s="44"/>
      <c r="Y5058" s="44"/>
    </row>
    <row r="5059" spans="14:25" ht="15" customHeight="1" x14ac:dyDescent="0.25">
      <c r="N5059" s="44"/>
      <c r="O5059" s="44"/>
      <c r="P5059" s="44"/>
      <c r="Q5059" s="44"/>
      <c r="R5059" s="44"/>
      <c r="S5059" s="44"/>
      <c r="T5059" s="44"/>
      <c r="U5059" s="44"/>
      <c r="V5059" s="44"/>
      <c r="W5059" s="44"/>
      <c r="X5059" s="44"/>
      <c r="Y5059" s="44"/>
    </row>
    <row r="5060" spans="14:25" ht="15" customHeight="1" x14ac:dyDescent="0.25">
      <c r="N5060" s="44"/>
      <c r="O5060" s="44"/>
      <c r="P5060" s="44"/>
      <c r="Q5060" s="44"/>
      <c r="R5060" s="44"/>
      <c r="S5060" s="44"/>
      <c r="T5060" s="44"/>
      <c r="U5060" s="44"/>
      <c r="V5060" s="44"/>
      <c r="W5060" s="44"/>
      <c r="X5060" s="44"/>
      <c r="Y5060" s="44"/>
    </row>
    <row r="5061" spans="14:25" ht="15" customHeight="1" x14ac:dyDescent="0.25">
      <c r="N5061" s="44"/>
      <c r="O5061" s="44"/>
      <c r="P5061" s="44"/>
      <c r="Q5061" s="44"/>
      <c r="R5061" s="44"/>
      <c r="S5061" s="44"/>
      <c r="T5061" s="44"/>
      <c r="U5061" s="44"/>
      <c r="V5061" s="44"/>
      <c r="W5061" s="44"/>
      <c r="X5061" s="44"/>
      <c r="Y5061" s="44"/>
    </row>
    <row r="5062" spans="14:25" ht="15" customHeight="1" x14ac:dyDescent="0.25">
      <c r="N5062" s="44"/>
      <c r="O5062" s="44"/>
      <c r="P5062" s="44"/>
      <c r="Q5062" s="44"/>
      <c r="R5062" s="44"/>
      <c r="S5062" s="44"/>
      <c r="T5062" s="44"/>
      <c r="U5062" s="44"/>
      <c r="V5062" s="44"/>
      <c r="W5062" s="44"/>
      <c r="X5062" s="44"/>
      <c r="Y5062" s="44"/>
    </row>
    <row r="5063" spans="14:25" ht="15" customHeight="1" x14ac:dyDescent="0.25">
      <c r="N5063" s="44"/>
      <c r="O5063" s="44"/>
      <c r="P5063" s="44"/>
      <c r="Q5063" s="44"/>
      <c r="R5063" s="44"/>
      <c r="S5063" s="44"/>
      <c r="T5063" s="44"/>
      <c r="U5063" s="44"/>
      <c r="V5063" s="44"/>
      <c r="W5063" s="44"/>
      <c r="X5063" s="44"/>
      <c r="Y5063" s="44"/>
    </row>
    <row r="5064" spans="14:25" ht="15" customHeight="1" x14ac:dyDescent="0.25">
      <c r="N5064" s="44"/>
      <c r="O5064" s="44"/>
      <c r="P5064" s="44"/>
      <c r="Q5064" s="44"/>
      <c r="R5064" s="44"/>
      <c r="S5064" s="44"/>
      <c r="T5064" s="44"/>
      <c r="U5064" s="44"/>
      <c r="V5064" s="44"/>
      <c r="W5064" s="44"/>
      <c r="X5064" s="44"/>
      <c r="Y5064" s="44"/>
    </row>
    <row r="5065" spans="14:25" ht="15" customHeight="1" x14ac:dyDescent="0.25">
      <c r="N5065" s="44"/>
      <c r="O5065" s="44"/>
      <c r="P5065" s="44"/>
      <c r="Q5065" s="44"/>
      <c r="R5065" s="44"/>
      <c r="S5065" s="44"/>
      <c r="T5065" s="44"/>
      <c r="U5065" s="44"/>
      <c r="V5065" s="44"/>
      <c r="W5065" s="44"/>
      <c r="X5065" s="44"/>
      <c r="Y5065" s="44"/>
    </row>
    <row r="5066" spans="14:25" ht="15" customHeight="1" x14ac:dyDescent="0.25">
      <c r="N5066" s="44"/>
      <c r="O5066" s="44"/>
      <c r="P5066" s="44"/>
      <c r="Q5066" s="44"/>
      <c r="R5066" s="44"/>
      <c r="S5066" s="44"/>
      <c r="T5066" s="44"/>
      <c r="U5066" s="44"/>
      <c r="V5066" s="44"/>
      <c r="W5066" s="44"/>
      <c r="X5066" s="44"/>
      <c r="Y5066" s="44"/>
    </row>
    <row r="5067" spans="14:25" ht="15" customHeight="1" x14ac:dyDescent="0.25">
      <c r="N5067" s="44"/>
      <c r="O5067" s="44"/>
      <c r="P5067" s="44"/>
      <c r="Q5067" s="44"/>
      <c r="R5067" s="44"/>
      <c r="S5067" s="44"/>
      <c r="T5067" s="44"/>
      <c r="U5067" s="44"/>
      <c r="V5067" s="44"/>
      <c r="W5067" s="44"/>
      <c r="X5067" s="44"/>
      <c r="Y5067" s="44"/>
    </row>
    <row r="5068" spans="14:25" ht="15" customHeight="1" x14ac:dyDescent="0.25">
      <c r="N5068" s="44"/>
      <c r="O5068" s="44"/>
      <c r="P5068" s="44"/>
      <c r="Q5068" s="44"/>
      <c r="R5068" s="44"/>
      <c r="S5068" s="44"/>
      <c r="T5068" s="44"/>
      <c r="U5068" s="44"/>
      <c r="V5068" s="44"/>
      <c r="W5068" s="44"/>
      <c r="X5068" s="44"/>
      <c r="Y5068" s="44"/>
    </row>
    <row r="5069" spans="14:25" ht="15" customHeight="1" x14ac:dyDescent="0.25">
      <c r="N5069" s="44"/>
      <c r="O5069" s="44"/>
      <c r="P5069" s="44"/>
      <c r="Q5069" s="44"/>
      <c r="R5069" s="44"/>
      <c r="S5069" s="44"/>
      <c r="T5069" s="44"/>
      <c r="U5069" s="44"/>
      <c r="V5069" s="44"/>
      <c r="W5069" s="44"/>
      <c r="X5069" s="44"/>
      <c r="Y5069" s="44"/>
    </row>
    <row r="5070" spans="14:25" ht="15" customHeight="1" x14ac:dyDescent="0.25">
      <c r="N5070" s="44"/>
      <c r="O5070" s="44"/>
      <c r="P5070" s="44"/>
      <c r="Q5070" s="44"/>
      <c r="R5070" s="44"/>
      <c r="S5070" s="44"/>
      <c r="T5070" s="44"/>
      <c r="U5070" s="44"/>
      <c r="V5070" s="44"/>
      <c r="W5070" s="44"/>
      <c r="X5070" s="44"/>
      <c r="Y5070" s="44"/>
    </row>
    <row r="5071" spans="14:25" ht="15" customHeight="1" x14ac:dyDescent="0.25">
      <c r="N5071" s="44"/>
      <c r="O5071" s="44"/>
      <c r="P5071" s="44"/>
      <c r="Q5071" s="44"/>
      <c r="R5071" s="44"/>
      <c r="S5071" s="44"/>
      <c r="T5071" s="44"/>
      <c r="U5071" s="44"/>
      <c r="V5071" s="44"/>
      <c r="W5071" s="44"/>
      <c r="X5071" s="44"/>
      <c r="Y5071" s="44"/>
    </row>
    <row r="5072" spans="14:25" ht="15" customHeight="1" x14ac:dyDescent="0.25">
      <c r="N5072" s="44"/>
      <c r="O5072" s="44"/>
      <c r="P5072" s="44"/>
      <c r="Q5072" s="44"/>
      <c r="R5072" s="44"/>
      <c r="S5072" s="44"/>
      <c r="T5072" s="44"/>
      <c r="U5072" s="44"/>
      <c r="V5072" s="44"/>
      <c r="W5072" s="44"/>
      <c r="X5072" s="44"/>
      <c r="Y5072" s="44"/>
    </row>
    <row r="5073" spans="14:25" ht="15" customHeight="1" x14ac:dyDescent="0.25">
      <c r="N5073" s="44"/>
      <c r="O5073" s="44"/>
      <c r="P5073" s="44"/>
      <c r="Q5073" s="44"/>
      <c r="R5073" s="44"/>
      <c r="S5073" s="44"/>
      <c r="T5073" s="44"/>
      <c r="U5073" s="44"/>
      <c r="V5073" s="44"/>
      <c r="W5073" s="44"/>
      <c r="X5073" s="44"/>
      <c r="Y5073" s="44"/>
    </row>
    <row r="5074" spans="14:25" ht="15" customHeight="1" x14ac:dyDescent="0.25">
      <c r="N5074" s="44"/>
      <c r="O5074" s="44"/>
      <c r="P5074" s="44"/>
      <c r="Q5074" s="44"/>
      <c r="R5074" s="44"/>
      <c r="S5074" s="44"/>
      <c r="T5074" s="44"/>
      <c r="U5074" s="44"/>
      <c r="V5074" s="44"/>
      <c r="W5074" s="44"/>
      <c r="X5074" s="44"/>
      <c r="Y5074" s="44"/>
    </row>
    <row r="5075" spans="14:25" ht="15" customHeight="1" x14ac:dyDescent="0.25">
      <c r="N5075" s="44"/>
      <c r="O5075" s="44"/>
      <c r="P5075" s="44"/>
      <c r="Q5075" s="44"/>
      <c r="R5075" s="44"/>
      <c r="S5075" s="44"/>
      <c r="T5075" s="44"/>
      <c r="U5075" s="44"/>
      <c r="V5075" s="44"/>
      <c r="W5075" s="44"/>
      <c r="X5075" s="44"/>
      <c r="Y5075" s="44"/>
    </row>
    <row r="5076" spans="14:25" ht="15" customHeight="1" x14ac:dyDescent="0.25">
      <c r="N5076" s="44"/>
      <c r="O5076" s="44"/>
      <c r="P5076" s="44"/>
      <c r="Q5076" s="44"/>
      <c r="R5076" s="44"/>
      <c r="S5076" s="44"/>
      <c r="T5076" s="44"/>
      <c r="U5076" s="44"/>
      <c r="V5076" s="44"/>
      <c r="W5076" s="44"/>
      <c r="X5076" s="44"/>
      <c r="Y5076" s="44"/>
    </row>
    <row r="5077" spans="14:25" ht="15" customHeight="1" x14ac:dyDescent="0.25">
      <c r="N5077" s="44"/>
      <c r="O5077" s="44"/>
      <c r="P5077" s="44"/>
      <c r="Q5077" s="44"/>
      <c r="R5077" s="44"/>
      <c r="S5077" s="44"/>
      <c r="T5077" s="44"/>
      <c r="U5077" s="44"/>
      <c r="V5077" s="44"/>
      <c r="W5077" s="44"/>
      <c r="X5077" s="44"/>
      <c r="Y5077" s="44"/>
    </row>
    <row r="5078" spans="14:25" ht="15" customHeight="1" x14ac:dyDescent="0.25">
      <c r="N5078" s="44"/>
      <c r="O5078" s="44"/>
      <c r="P5078" s="44"/>
      <c r="Q5078" s="44"/>
      <c r="R5078" s="44"/>
      <c r="S5078" s="44"/>
      <c r="T5078" s="44"/>
      <c r="U5078" s="44"/>
      <c r="V5078" s="44"/>
      <c r="W5078" s="44"/>
      <c r="X5078" s="44"/>
      <c r="Y5078" s="44"/>
    </row>
    <row r="5079" spans="14:25" ht="15" customHeight="1" x14ac:dyDescent="0.25">
      <c r="N5079" s="44"/>
      <c r="O5079" s="44"/>
      <c r="P5079" s="44"/>
      <c r="Q5079" s="44"/>
      <c r="R5079" s="44"/>
      <c r="S5079" s="44"/>
      <c r="T5079" s="44"/>
      <c r="U5079" s="44"/>
      <c r="V5079" s="44"/>
      <c r="W5079" s="44"/>
      <c r="X5079" s="44"/>
      <c r="Y5079" s="44"/>
    </row>
    <row r="5080" spans="14:25" ht="15" customHeight="1" x14ac:dyDescent="0.25">
      <c r="N5080" s="44"/>
      <c r="O5080" s="44"/>
      <c r="P5080" s="44"/>
      <c r="Q5080" s="44"/>
      <c r="R5080" s="44"/>
      <c r="S5080" s="44"/>
      <c r="T5080" s="44"/>
      <c r="U5080" s="44"/>
      <c r="V5080" s="44"/>
      <c r="W5080" s="44"/>
      <c r="X5080" s="44"/>
      <c r="Y5080" s="44"/>
    </row>
    <row r="5081" spans="14:25" ht="15" customHeight="1" x14ac:dyDescent="0.25">
      <c r="N5081" s="44"/>
      <c r="O5081" s="44"/>
      <c r="P5081" s="44"/>
      <c r="Q5081" s="44"/>
      <c r="R5081" s="44"/>
      <c r="S5081" s="44"/>
      <c r="T5081" s="44"/>
      <c r="U5081" s="44"/>
      <c r="V5081" s="44"/>
      <c r="W5081" s="44"/>
      <c r="X5081" s="44"/>
      <c r="Y5081" s="44"/>
    </row>
    <row r="5082" spans="14:25" ht="15" customHeight="1" x14ac:dyDescent="0.25">
      <c r="N5082" s="44"/>
      <c r="O5082" s="44"/>
      <c r="P5082" s="44"/>
      <c r="Q5082" s="44"/>
      <c r="R5082" s="44"/>
      <c r="S5082" s="44"/>
      <c r="T5082" s="44"/>
      <c r="U5082" s="44"/>
      <c r="V5082" s="44"/>
      <c r="W5082" s="44"/>
      <c r="X5082" s="44"/>
      <c r="Y5082" s="44"/>
    </row>
    <row r="5083" spans="14:25" ht="15" customHeight="1" x14ac:dyDescent="0.25">
      <c r="N5083" s="44"/>
      <c r="O5083" s="44"/>
      <c r="P5083" s="44"/>
      <c r="Q5083" s="44"/>
      <c r="R5083" s="44"/>
      <c r="S5083" s="44"/>
      <c r="T5083" s="44"/>
      <c r="U5083" s="44"/>
      <c r="V5083" s="44"/>
      <c r="W5083" s="44"/>
      <c r="X5083" s="44"/>
      <c r="Y5083" s="44"/>
    </row>
    <row r="5084" spans="14:25" ht="15" customHeight="1" x14ac:dyDescent="0.25">
      <c r="N5084" s="44"/>
      <c r="O5084" s="44"/>
      <c r="P5084" s="44"/>
      <c r="Q5084" s="44"/>
      <c r="R5084" s="44"/>
      <c r="S5084" s="44"/>
      <c r="T5084" s="44"/>
      <c r="U5084" s="44"/>
      <c r="V5084" s="44"/>
      <c r="W5084" s="44"/>
      <c r="X5084" s="44"/>
      <c r="Y5084" s="44"/>
    </row>
    <row r="5085" spans="14:25" ht="15" customHeight="1" x14ac:dyDescent="0.25">
      <c r="N5085" s="44"/>
      <c r="O5085" s="44"/>
      <c r="P5085" s="44"/>
      <c r="Q5085" s="44"/>
      <c r="R5085" s="44"/>
      <c r="S5085" s="44"/>
      <c r="T5085" s="44"/>
      <c r="U5085" s="44"/>
      <c r="V5085" s="44"/>
      <c r="W5085" s="44"/>
      <c r="X5085" s="44"/>
      <c r="Y5085" s="44"/>
    </row>
    <row r="5086" spans="14:25" ht="15" customHeight="1" x14ac:dyDescent="0.25">
      <c r="N5086" s="44"/>
      <c r="O5086" s="44"/>
      <c r="P5086" s="44"/>
      <c r="Q5086" s="44"/>
      <c r="R5086" s="44"/>
      <c r="S5086" s="44"/>
      <c r="T5086" s="44"/>
      <c r="U5086" s="44"/>
      <c r="V5086" s="44"/>
      <c r="W5086" s="44"/>
      <c r="X5086" s="44"/>
      <c r="Y5086" s="44"/>
    </row>
    <row r="5087" spans="14:25" ht="15" customHeight="1" x14ac:dyDescent="0.25">
      <c r="N5087" s="44"/>
      <c r="O5087" s="44"/>
      <c r="P5087" s="44"/>
      <c r="Q5087" s="44"/>
      <c r="R5087" s="44"/>
      <c r="S5087" s="44"/>
      <c r="T5087" s="44"/>
      <c r="U5087" s="44"/>
      <c r="V5087" s="44"/>
      <c r="W5087" s="44"/>
      <c r="X5087" s="44"/>
      <c r="Y5087" s="44"/>
    </row>
    <row r="5088" spans="14:25" ht="15" customHeight="1" x14ac:dyDescent="0.25">
      <c r="N5088" s="44"/>
      <c r="O5088" s="44"/>
      <c r="P5088" s="44"/>
      <c r="Q5088" s="44"/>
      <c r="R5088" s="44"/>
      <c r="S5088" s="44"/>
      <c r="T5088" s="44"/>
      <c r="U5088" s="44"/>
      <c r="V5088" s="44"/>
      <c r="W5088" s="44"/>
      <c r="X5088" s="44"/>
      <c r="Y5088" s="44"/>
    </row>
    <row r="5089" spans="14:25" ht="15" customHeight="1" x14ac:dyDescent="0.25">
      <c r="N5089" s="44"/>
      <c r="O5089" s="44"/>
      <c r="P5089" s="44"/>
      <c r="Q5089" s="44"/>
      <c r="R5089" s="44"/>
      <c r="S5089" s="44"/>
      <c r="T5089" s="44"/>
      <c r="U5089" s="44"/>
      <c r="V5089" s="44"/>
      <c r="W5089" s="44"/>
      <c r="X5089" s="44"/>
      <c r="Y5089" s="44"/>
    </row>
    <row r="5090" spans="14:25" ht="15" customHeight="1" x14ac:dyDescent="0.25">
      <c r="N5090" s="44"/>
      <c r="O5090" s="44"/>
      <c r="P5090" s="44"/>
      <c r="Q5090" s="44"/>
      <c r="R5090" s="44"/>
      <c r="S5090" s="44"/>
      <c r="T5090" s="44"/>
      <c r="U5090" s="44"/>
      <c r="V5090" s="44"/>
      <c r="W5090" s="44"/>
      <c r="X5090" s="44"/>
      <c r="Y5090" s="44"/>
    </row>
    <row r="5091" spans="14:25" ht="15" customHeight="1" x14ac:dyDescent="0.25">
      <c r="N5091" s="44"/>
      <c r="O5091" s="44"/>
      <c r="P5091" s="44"/>
      <c r="Q5091" s="44"/>
      <c r="R5091" s="44"/>
      <c r="S5091" s="44"/>
      <c r="T5091" s="44"/>
      <c r="U5091" s="44"/>
      <c r="V5091" s="44"/>
      <c r="W5091" s="44"/>
      <c r="X5091" s="44"/>
      <c r="Y5091" s="44"/>
    </row>
    <row r="5092" spans="14:25" ht="15" customHeight="1" x14ac:dyDescent="0.25">
      <c r="N5092" s="44"/>
      <c r="O5092" s="44"/>
      <c r="P5092" s="44"/>
      <c r="Q5092" s="44"/>
      <c r="R5092" s="44"/>
      <c r="S5092" s="44"/>
      <c r="T5092" s="44"/>
      <c r="U5092" s="44"/>
      <c r="V5092" s="44"/>
      <c r="W5092" s="44"/>
      <c r="X5092" s="44"/>
      <c r="Y5092" s="44"/>
    </row>
    <row r="5093" spans="14:25" ht="15" customHeight="1" x14ac:dyDescent="0.25">
      <c r="N5093" s="44"/>
      <c r="O5093" s="44"/>
      <c r="P5093" s="44"/>
      <c r="Q5093" s="44"/>
      <c r="R5093" s="44"/>
      <c r="S5093" s="44"/>
      <c r="T5093" s="44"/>
      <c r="U5093" s="44"/>
      <c r="V5093" s="44"/>
      <c r="W5093" s="44"/>
      <c r="X5093" s="44"/>
      <c r="Y5093" s="44"/>
    </row>
    <row r="5094" spans="14:25" ht="15" customHeight="1" x14ac:dyDescent="0.25">
      <c r="N5094" s="44"/>
      <c r="O5094" s="44"/>
      <c r="P5094" s="44"/>
      <c r="Q5094" s="44"/>
      <c r="R5094" s="44"/>
      <c r="S5094" s="44"/>
      <c r="T5094" s="44"/>
      <c r="U5094" s="44"/>
      <c r="V5094" s="44"/>
      <c r="W5094" s="44"/>
      <c r="X5094" s="44"/>
      <c r="Y5094" s="44"/>
    </row>
    <row r="5095" spans="14:25" ht="15" customHeight="1" x14ac:dyDescent="0.25">
      <c r="N5095" s="44"/>
      <c r="O5095" s="44"/>
      <c r="P5095" s="44"/>
      <c r="Q5095" s="44"/>
      <c r="R5095" s="44"/>
      <c r="S5095" s="44"/>
      <c r="T5095" s="44"/>
      <c r="U5095" s="44"/>
      <c r="V5095" s="44"/>
      <c r="W5095" s="44"/>
      <c r="X5095" s="44"/>
      <c r="Y5095" s="44"/>
    </row>
    <row r="5096" spans="14:25" ht="15" customHeight="1" x14ac:dyDescent="0.25">
      <c r="N5096" s="44"/>
      <c r="O5096" s="44"/>
      <c r="P5096" s="44"/>
      <c r="Q5096" s="44"/>
      <c r="R5096" s="44"/>
      <c r="S5096" s="44"/>
      <c r="T5096" s="44"/>
      <c r="U5096" s="44"/>
      <c r="V5096" s="44"/>
      <c r="W5096" s="44"/>
      <c r="X5096" s="44"/>
      <c r="Y5096" s="44"/>
    </row>
    <row r="5097" spans="14:25" ht="15" customHeight="1" x14ac:dyDescent="0.25">
      <c r="N5097" s="44"/>
      <c r="O5097" s="44"/>
      <c r="P5097" s="44"/>
      <c r="Q5097" s="44"/>
      <c r="R5097" s="44"/>
      <c r="S5097" s="44"/>
      <c r="T5097" s="44"/>
      <c r="U5097" s="44"/>
      <c r="V5097" s="44"/>
      <c r="W5097" s="44"/>
      <c r="X5097" s="44"/>
      <c r="Y5097" s="44"/>
    </row>
    <row r="5098" spans="14:25" ht="15" customHeight="1" x14ac:dyDescent="0.25">
      <c r="N5098" s="44"/>
      <c r="O5098" s="44"/>
      <c r="P5098" s="44"/>
      <c r="Q5098" s="44"/>
      <c r="R5098" s="44"/>
      <c r="S5098" s="44"/>
      <c r="T5098" s="44"/>
      <c r="U5098" s="44"/>
      <c r="V5098" s="44"/>
      <c r="W5098" s="44"/>
      <c r="X5098" s="44"/>
      <c r="Y5098" s="44"/>
    </row>
    <row r="5099" spans="14:25" ht="15" customHeight="1" x14ac:dyDescent="0.25">
      <c r="N5099" s="44"/>
      <c r="O5099" s="44"/>
      <c r="P5099" s="44"/>
      <c r="Q5099" s="44"/>
      <c r="R5099" s="44"/>
      <c r="S5099" s="44"/>
      <c r="T5099" s="44"/>
      <c r="U5099" s="44"/>
      <c r="V5099" s="44"/>
      <c r="W5099" s="44"/>
      <c r="X5099" s="44"/>
      <c r="Y5099" s="44"/>
    </row>
    <row r="5100" spans="14:25" ht="15" customHeight="1" x14ac:dyDescent="0.25">
      <c r="N5100" s="44"/>
      <c r="O5100" s="44"/>
      <c r="P5100" s="44"/>
      <c r="Q5100" s="44"/>
      <c r="R5100" s="44"/>
      <c r="S5100" s="44"/>
      <c r="T5100" s="44"/>
      <c r="U5100" s="44"/>
      <c r="V5100" s="44"/>
      <c r="W5100" s="44"/>
      <c r="X5100" s="44"/>
      <c r="Y5100" s="44"/>
    </row>
    <row r="5101" spans="14:25" ht="15" customHeight="1" x14ac:dyDescent="0.25">
      <c r="N5101" s="44"/>
      <c r="O5101" s="44"/>
      <c r="P5101" s="44"/>
      <c r="Q5101" s="44"/>
      <c r="R5101" s="44"/>
      <c r="S5101" s="44"/>
      <c r="T5101" s="44"/>
      <c r="U5101" s="44"/>
      <c r="V5101" s="44"/>
      <c r="W5101" s="44"/>
      <c r="X5101" s="44"/>
      <c r="Y5101" s="44"/>
    </row>
    <row r="5102" spans="14:25" ht="15" customHeight="1" x14ac:dyDescent="0.25">
      <c r="N5102" s="44"/>
      <c r="O5102" s="44"/>
      <c r="P5102" s="44"/>
      <c r="Q5102" s="44"/>
      <c r="R5102" s="44"/>
      <c r="S5102" s="44"/>
      <c r="T5102" s="44"/>
      <c r="U5102" s="44"/>
      <c r="V5102" s="44"/>
      <c r="W5102" s="44"/>
      <c r="X5102" s="44"/>
      <c r="Y5102" s="44"/>
    </row>
    <row r="5103" spans="14:25" ht="15" customHeight="1" x14ac:dyDescent="0.25">
      <c r="N5103" s="44"/>
      <c r="O5103" s="44"/>
      <c r="P5103" s="44"/>
      <c r="Q5103" s="44"/>
      <c r="R5103" s="44"/>
      <c r="S5103" s="44"/>
      <c r="T5103" s="44"/>
      <c r="U5103" s="44"/>
      <c r="V5103" s="44"/>
      <c r="W5103" s="44"/>
      <c r="X5103" s="44"/>
      <c r="Y5103" s="44"/>
    </row>
    <row r="5104" spans="14:25" ht="15" customHeight="1" x14ac:dyDescent="0.25">
      <c r="N5104" s="44"/>
      <c r="O5104" s="44"/>
      <c r="P5104" s="44"/>
      <c r="Q5104" s="44"/>
      <c r="R5104" s="44"/>
      <c r="S5104" s="44"/>
      <c r="T5104" s="44"/>
      <c r="U5104" s="44"/>
      <c r="V5104" s="44"/>
      <c r="W5104" s="44"/>
      <c r="X5104" s="44"/>
      <c r="Y5104" s="44"/>
    </row>
    <row r="5105" spans="14:25" ht="15" customHeight="1" x14ac:dyDescent="0.25">
      <c r="N5105" s="44"/>
      <c r="O5105" s="44"/>
      <c r="P5105" s="44"/>
      <c r="Q5105" s="44"/>
      <c r="R5105" s="44"/>
      <c r="S5105" s="44"/>
      <c r="T5105" s="44"/>
      <c r="U5105" s="44"/>
      <c r="V5105" s="44"/>
      <c r="W5105" s="44"/>
      <c r="X5105" s="44"/>
      <c r="Y5105" s="44"/>
    </row>
    <row r="5106" spans="14:25" ht="15" customHeight="1" x14ac:dyDescent="0.25">
      <c r="N5106" s="44"/>
      <c r="O5106" s="44"/>
      <c r="P5106" s="44"/>
      <c r="Q5106" s="44"/>
      <c r="R5106" s="44"/>
      <c r="S5106" s="44"/>
      <c r="T5106" s="44"/>
      <c r="U5106" s="44"/>
      <c r="V5106" s="44"/>
      <c r="W5106" s="44"/>
      <c r="X5106" s="44"/>
      <c r="Y5106" s="44"/>
    </row>
    <row r="5107" spans="14:25" ht="15" customHeight="1" x14ac:dyDescent="0.25">
      <c r="N5107" s="44"/>
      <c r="O5107" s="44"/>
      <c r="P5107" s="44"/>
      <c r="Q5107" s="44"/>
      <c r="R5107" s="44"/>
      <c r="S5107" s="44"/>
      <c r="T5107" s="44"/>
      <c r="U5107" s="44"/>
      <c r="V5107" s="44"/>
      <c r="W5107" s="44"/>
      <c r="X5107" s="44"/>
      <c r="Y5107" s="44"/>
    </row>
    <row r="5108" spans="14:25" ht="15" customHeight="1" x14ac:dyDescent="0.25">
      <c r="N5108" s="44"/>
      <c r="O5108" s="44"/>
      <c r="P5108" s="44"/>
      <c r="Q5108" s="44"/>
      <c r="R5108" s="44"/>
      <c r="S5108" s="44"/>
      <c r="T5108" s="44"/>
      <c r="U5108" s="44"/>
      <c r="V5108" s="44"/>
      <c r="W5108" s="44"/>
      <c r="X5108" s="44"/>
      <c r="Y5108" s="44"/>
    </row>
    <row r="5109" spans="14:25" ht="15" customHeight="1" x14ac:dyDescent="0.25">
      <c r="N5109" s="44"/>
      <c r="O5109" s="44"/>
      <c r="P5109" s="44"/>
      <c r="Q5109" s="44"/>
      <c r="R5109" s="44"/>
      <c r="S5109" s="44"/>
      <c r="T5109" s="44"/>
      <c r="U5109" s="44"/>
      <c r="V5109" s="44"/>
      <c r="W5109" s="44"/>
      <c r="X5109" s="44"/>
      <c r="Y5109" s="44"/>
    </row>
    <row r="5110" spans="14:25" ht="15" customHeight="1" x14ac:dyDescent="0.25">
      <c r="N5110" s="44"/>
      <c r="O5110" s="44"/>
      <c r="P5110" s="44"/>
      <c r="Q5110" s="44"/>
      <c r="R5110" s="44"/>
      <c r="S5110" s="44"/>
      <c r="T5110" s="44"/>
      <c r="U5110" s="44"/>
      <c r="V5110" s="44"/>
      <c r="W5110" s="44"/>
      <c r="X5110" s="44"/>
      <c r="Y5110" s="44"/>
    </row>
    <row r="5111" spans="14:25" ht="15" customHeight="1" x14ac:dyDescent="0.25">
      <c r="N5111" s="44"/>
      <c r="O5111" s="44"/>
      <c r="P5111" s="44"/>
      <c r="Q5111" s="44"/>
      <c r="R5111" s="44"/>
      <c r="S5111" s="44"/>
      <c r="T5111" s="44"/>
      <c r="U5111" s="44"/>
      <c r="V5111" s="44"/>
      <c r="W5111" s="44"/>
      <c r="X5111" s="44"/>
      <c r="Y5111" s="44"/>
    </row>
    <row r="5112" spans="14:25" ht="15" customHeight="1" x14ac:dyDescent="0.25">
      <c r="N5112" s="44"/>
      <c r="O5112" s="44"/>
      <c r="P5112" s="44"/>
      <c r="Q5112" s="44"/>
      <c r="R5112" s="44"/>
      <c r="S5112" s="44"/>
      <c r="T5112" s="44"/>
      <c r="U5112" s="44"/>
      <c r="V5112" s="44"/>
      <c r="W5112" s="44"/>
      <c r="X5112" s="44"/>
      <c r="Y5112" s="44"/>
    </row>
    <row r="5113" spans="14:25" ht="15" customHeight="1" x14ac:dyDescent="0.25">
      <c r="N5113" s="44"/>
      <c r="O5113" s="44"/>
      <c r="P5113" s="44"/>
      <c r="Q5113" s="44"/>
      <c r="R5113" s="44"/>
      <c r="S5113" s="44"/>
      <c r="T5113" s="44"/>
      <c r="U5113" s="44"/>
      <c r="V5113" s="44"/>
      <c r="W5113" s="44"/>
      <c r="X5113" s="44"/>
      <c r="Y5113" s="44"/>
    </row>
    <row r="5114" spans="14:25" ht="15" customHeight="1" x14ac:dyDescent="0.25">
      <c r="N5114" s="44"/>
      <c r="O5114" s="44"/>
      <c r="P5114" s="44"/>
      <c r="Q5114" s="44"/>
      <c r="R5114" s="44"/>
      <c r="S5114" s="44"/>
      <c r="T5114" s="44"/>
      <c r="U5114" s="44"/>
      <c r="V5114" s="44"/>
      <c r="W5114" s="44"/>
      <c r="X5114" s="44"/>
      <c r="Y5114" s="44"/>
    </row>
    <row r="5115" spans="14:25" ht="15" customHeight="1" x14ac:dyDescent="0.25">
      <c r="N5115" s="44"/>
      <c r="O5115" s="44"/>
      <c r="P5115" s="44"/>
      <c r="Q5115" s="44"/>
      <c r="R5115" s="44"/>
      <c r="S5115" s="44"/>
      <c r="T5115" s="44"/>
      <c r="U5115" s="44"/>
      <c r="V5115" s="44"/>
      <c r="W5115" s="44"/>
      <c r="X5115" s="44"/>
      <c r="Y5115" s="44"/>
    </row>
    <row r="5116" spans="14:25" ht="15" customHeight="1" x14ac:dyDescent="0.25">
      <c r="N5116" s="44"/>
      <c r="O5116" s="44"/>
      <c r="P5116" s="44"/>
      <c r="Q5116" s="44"/>
      <c r="R5116" s="44"/>
      <c r="S5116" s="44"/>
      <c r="T5116" s="44"/>
      <c r="U5116" s="44"/>
      <c r="V5116" s="44"/>
      <c r="W5116" s="44"/>
      <c r="X5116" s="44"/>
      <c r="Y5116" s="44"/>
    </row>
    <row r="5117" spans="14:25" ht="15" customHeight="1" x14ac:dyDescent="0.25">
      <c r="N5117" s="44"/>
      <c r="O5117" s="44"/>
      <c r="P5117" s="44"/>
      <c r="Q5117" s="44"/>
      <c r="R5117" s="44"/>
      <c r="S5117" s="44"/>
      <c r="T5117" s="44"/>
      <c r="U5117" s="44"/>
      <c r="V5117" s="44"/>
      <c r="W5117" s="44"/>
      <c r="X5117" s="44"/>
      <c r="Y5117" s="44"/>
    </row>
    <row r="5118" spans="14:25" ht="15" customHeight="1" x14ac:dyDescent="0.25">
      <c r="N5118" s="44"/>
      <c r="O5118" s="44"/>
      <c r="P5118" s="44"/>
      <c r="Q5118" s="44"/>
      <c r="R5118" s="44"/>
      <c r="S5118" s="44"/>
      <c r="T5118" s="44"/>
      <c r="U5118" s="44"/>
      <c r="V5118" s="44"/>
      <c r="W5118" s="44"/>
      <c r="X5118" s="44"/>
      <c r="Y5118" s="44"/>
    </row>
    <row r="5119" spans="14:25" ht="15" customHeight="1" x14ac:dyDescent="0.25">
      <c r="N5119" s="44"/>
      <c r="O5119" s="44"/>
      <c r="P5119" s="44"/>
      <c r="Q5119" s="44"/>
      <c r="R5119" s="44"/>
      <c r="S5119" s="44"/>
      <c r="T5119" s="44"/>
      <c r="U5119" s="44"/>
      <c r="V5119" s="44"/>
      <c r="W5119" s="44"/>
      <c r="X5119" s="44"/>
      <c r="Y5119" s="44"/>
    </row>
    <row r="5120" spans="14:25" ht="15" customHeight="1" x14ac:dyDescent="0.25">
      <c r="N5120" s="44"/>
      <c r="O5120" s="44"/>
      <c r="P5120" s="44"/>
      <c r="Q5120" s="44"/>
      <c r="R5120" s="44"/>
      <c r="S5120" s="44"/>
      <c r="T5120" s="44"/>
      <c r="U5120" s="44"/>
      <c r="V5120" s="44"/>
      <c r="W5120" s="44"/>
      <c r="X5120" s="44"/>
      <c r="Y5120" s="44"/>
    </row>
    <row r="5121" spans="14:25" ht="15" customHeight="1" x14ac:dyDescent="0.25">
      <c r="N5121" s="44"/>
      <c r="O5121" s="44"/>
      <c r="P5121" s="44"/>
      <c r="Q5121" s="44"/>
      <c r="R5121" s="44"/>
      <c r="S5121" s="44"/>
      <c r="T5121" s="44"/>
      <c r="U5121" s="44"/>
      <c r="V5121" s="44"/>
      <c r="W5121" s="44"/>
      <c r="X5121" s="44"/>
      <c r="Y5121" s="44"/>
    </row>
    <row r="5122" spans="14:25" ht="15" customHeight="1" x14ac:dyDescent="0.25">
      <c r="N5122" s="44"/>
      <c r="O5122" s="44"/>
      <c r="P5122" s="44"/>
      <c r="Q5122" s="44"/>
      <c r="R5122" s="44"/>
      <c r="S5122" s="44"/>
      <c r="T5122" s="44"/>
      <c r="U5122" s="44"/>
      <c r="V5122" s="44"/>
      <c r="W5122" s="44"/>
      <c r="X5122" s="44"/>
      <c r="Y5122" s="44"/>
    </row>
    <row r="5123" spans="14:25" ht="15" customHeight="1" x14ac:dyDescent="0.25">
      <c r="N5123" s="44"/>
      <c r="O5123" s="44"/>
      <c r="P5123" s="44"/>
      <c r="Q5123" s="44"/>
      <c r="R5123" s="44"/>
      <c r="S5123" s="44"/>
      <c r="T5123" s="44"/>
      <c r="U5123" s="44"/>
      <c r="V5123" s="44"/>
      <c r="W5123" s="44"/>
      <c r="X5123" s="44"/>
      <c r="Y5123" s="44"/>
    </row>
    <row r="5124" spans="14:25" ht="15" customHeight="1" x14ac:dyDescent="0.25">
      <c r="N5124" s="44"/>
      <c r="O5124" s="44"/>
      <c r="P5124" s="44"/>
      <c r="Q5124" s="44"/>
      <c r="R5124" s="44"/>
      <c r="S5124" s="44"/>
      <c r="T5124" s="44"/>
      <c r="U5124" s="44"/>
      <c r="V5124" s="44"/>
      <c r="W5124" s="44"/>
      <c r="X5124" s="44"/>
      <c r="Y5124" s="44"/>
    </row>
    <row r="5125" spans="14:25" ht="15" customHeight="1" x14ac:dyDescent="0.25">
      <c r="N5125" s="44"/>
      <c r="O5125" s="44"/>
      <c r="P5125" s="44"/>
      <c r="Q5125" s="44"/>
      <c r="R5125" s="44"/>
      <c r="S5125" s="44"/>
      <c r="T5125" s="44"/>
      <c r="U5125" s="44"/>
      <c r="V5125" s="44"/>
      <c r="W5125" s="44"/>
      <c r="X5125" s="44"/>
      <c r="Y5125" s="44"/>
    </row>
    <row r="5126" spans="14:25" ht="15" customHeight="1" x14ac:dyDescent="0.25">
      <c r="N5126" s="44"/>
      <c r="O5126" s="44"/>
      <c r="P5126" s="44"/>
      <c r="Q5126" s="44"/>
      <c r="R5126" s="44"/>
      <c r="S5126" s="44"/>
      <c r="T5126" s="44"/>
      <c r="U5126" s="44"/>
      <c r="V5126" s="44"/>
      <c r="W5126" s="44"/>
      <c r="X5126" s="44"/>
      <c r="Y5126" s="44"/>
    </row>
    <row r="5127" spans="14:25" ht="15" customHeight="1" x14ac:dyDescent="0.25">
      <c r="N5127" s="44"/>
      <c r="O5127" s="44"/>
      <c r="P5127" s="44"/>
      <c r="Q5127" s="44"/>
      <c r="R5127" s="44"/>
      <c r="S5127" s="44"/>
      <c r="T5127" s="44"/>
      <c r="U5127" s="44"/>
      <c r="V5127" s="44"/>
      <c r="W5127" s="44"/>
      <c r="X5127" s="44"/>
      <c r="Y5127" s="44"/>
    </row>
    <row r="5128" spans="14:25" ht="15" customHeight="1" x14ac:dyDescent="0.25">
      <c r="N5128" s="44"/>
      <c r="O5128" s="44"/>
      <c r="P5128" s="44"/>
      <c r="Q5128" s="44"/>
      <c r="R5128" s="44"/>
      <c r="S5128" s="44"/>
      <c r="T5128" s="44"/>
      <c r="U5128" s="44"/>
      <c r="V5128" s="44"/>
      <c r="W5128" s="44"/>
      <c r="X5128" s="44"/>
      <c r="Y5128" s="44"/>
    </row>
    <row r="5129" spans="14:25" ht="15" customHeight="1" x14ac:dyDescent="0.25">
      <c r="N5129" s="44"/>
      <c r="O5129" s="44"/>
      <c r="P5129" s="44"/>
      <c r="Q5129" s="44"/>
      <c r="R5129" s="44"/>
      <c r="S5129" s="44"/>
      <c r="T5129" s="44"/>
      <c r="U5129" s="44"/>
      <c r="V5129" s="44"/>
      <c r="W5129" s="44"/>
      <c r="X5129" s="44"/>
      <c r="Y5129" s="44"/>
    </row>
    <row r="5130" spans="14:25" ht="15" customHeight="1" x14ac:dyDescent="0.25">
      <c r="N5130" s="44"/>
      <c r="O5130" s="44"/>
      <c r="P5130" s="44"/>
      <c r="Q5130" s="44"/>
      <c r="R5130" s="44"/>
      <c r="S5130" s="44"/>
      <c r="T5130" s="44"/>
      <c r="U5130" s="44"/>
      <c r="V5130" s="44"/>
      <c r="W5130" s="44"/>
      <c r="X5130" s="44"/>
      <c r="Y5130" s="44"/>
    </row>
    <row r="5131" spans="14:25" ht="15" customHeight="1" x14ac:dyDescent="0.25">
      <c r="N5131" s="44"/>
      <c r="O5131" s="44"/>
      <c r="P5131" s="44"/>
      <c r="Q5131" s="44"/>
      <c r="R5131" s="44"/>
      <c r="S5131" s="44"/>
      <c r="T5131" s="44"/>
      <c r="U5131" s="44"/>
      <c r="V5131" s="44"/>
      <c r="W5131" s="44"/>
      <c r="X5131" s="44"/>
      <c r="Y5131" s="44"/>
    </row>
    <row r="5132" spans="14:25" ht="15" customHeight="1" x14ac:dyDescent="0.25">
      <c r="N5132" s="44"/>
      <c r="O5132" s="44"/>
      <c r="P5132" s="44"/>
      <c r="Q5132" s="44"/>
      <c r="R5132" s="44"/>
      <c r="S5132" s="44"/>
      <c r="T5132" s="44"/>
      <c r="U5132" s="44"/>
      <c r="V5132" s="44"/>
      <c r="W5132" s="44"/>
      <c r="X5132" s="44"/>
      <c r="Y5132" s="44"/>
    </row>
    <row r="5133" spans="14:25" ht="15" customHeight="1" x14ac:dyDescent="0.25">
      <c r="N5133" s="44"/>
      <c r="O5133" s="44"/>
      <c r="P5133" s="44"/>
      <c r="Q5133" s="44"/>
      <c r="R5133" s="44"/>
      <c r="S5133" s="44"/>
      <c r="T5133" s="44"/>
      <c r="U5133" s="44"/>
      <c r="V5133" s="44"/>
      <c r="W5133" s="44"/>
      <c r="X5133" s="44"/>
      <c r="Y5133" s="44"/>
    </row>
    <row r="5134" spans="14:25" ht="15" customHeight="1" x14ac:dyDescent="0.25">
      <c r="N5134" s="44"/>
      <c r="O5134" s="44"/>
      <c r="P5134" s="44"/>
      <c r="Q5134" s="44"/>
      <c r="R5134" s="44"/>
      <c r="S5134" s="44"/>
      <c r="T5134" s="44"/>
      <c r="U5134" s="44"/>
      <c r="V5134" s="44"/>
      <c r="W5134" s="44"/>
      <c r="X5134" s="44"/>
      <c r="Y5134" s="44"/>
    </row>
    <row r="5135" spans="14:25" ht="15" customHeight="1" x14ac:dyDescent="0.25">
      <c r="N5135" s="44"/>
      <c r="O5135" s="44"/>
      <c r="P5135" s="44"/>
      <c r="Q5135" s="44"/>
      <c r="R5135" s="44"/>
      <c r="S5135" s="44"/>
      <c r="T5135" s="44"/>
      <c r="U5135" s="44"/>
      <c r="V5135" s="44"/>
      <c r="W5135" s="44"/>
      <c r="X5135" s="44"/>
      <c r="Y5135" s="44"/>
    </row>
    <row r="5136" spans="14:25" ht="15" customHeight="1" x14ac:dyDescent="0.25">
      <c r="N5136" s="44"/>
      <c r="O5136" s="44"/>
      <c r="P5136" s="44"/>
      <c r="Q5136" s="44"/>
      <c r="R5136" s="44"/>
      <c r="S5136" s="44"/>
      <c r="T5136" s="44"/>
      <c r="U5136" s="44"/>
      <c r="V5136" s="44"/>
      <c r="W5136" s="44"/>
      <c r="X5136" s="44"/>
      <c r="Y5136" s="44"/>
    </row>
    <row r="5137" spans="14:25" ht="15" customHeight="1" x14ac:dyDescent="0.25">
      <c r="N5137" s="44"/>
      <c r="O5137" s="44"/>
      <c r="P5137" s="44"/>
      <c r="Q5137" s="44"/>
      <c r="R5137" s="44"/>
      <c r="S5137" s="44"/>
      <c r="T5137" s="44"/>
      <c r="U5137" s="44"/>
      <c r="V5137" s="44"/>
      <c r="W5137" s="44"/>
      <c r="X5137" s="44"/>
      <c r="Y5137" s="44"/>
    </row>
    <row r="5138" spans="14:25" ht="15" customHeight="1" x14ac:dyDescent="0.25">
      <c r="N5138" s="44"/>
      <c r="O5138" s="44"/>
      <c r="P5138" s="44"/>
      <c r="Q5138" s="44"/>
      <c r="R5138" s="44"/>
      <c r="S5138" s="44"/>
      <c r="T5138" s="44"/>
      <c r="U5138" s="44"/>
      <c r="V5138" s="44"/>
      <c r="W5138" s="44"/>
      <c r="X5138" s="44"/>
      <c r="Y5138" s="44"/>
    </row>
    <row r="5139" spans="14:25" ht="15" customHeight="1" x14ac:dyDescent="0.25">
      <c r="N5139" s="44"/>
      <c r="O5139" s="44"/>
      <c r="P5139" s="44"/>
      <c r="Q5139" s="44"/>
      <c r="R5139" s="44"/>
      <c r="S5139" s="44"/>
      <c r="T5139" s="44"/>
      <c r="U5139" s="44"/>
      <c r="V5139" s="44"/>
      <c r="W5139" s="44"/>
      <c r="X5139" s="44"/>
      <c r="Y5139" s="44"/>
    </row>
    <row r="5140" spans="14:25" ht="15" customHeight="1" x14ac:dyDescent="0.25">
      <c r="N5140" s="44"/>
      <c r="O5140" s="44"/>
      <c r="P5140" s="44"/>
      <c r="Q5140" s="44"/>
      <c r="R5140" s="44"/>
      <c r="S5140" s="44"/>
      <c r="T5140" s="44"/>
      <c r="U5140" s="44"/>
      <c r="V5140" s="44"/>
      <c r="W5140" s="44"/>
      <c r="X5140" s="44"/>
      <c r="Y5140" s="44"/>
    </row>
    <row r="5141" spans="14:25" ht="15" customHeight="1" x14ac:dyDescent="0.25">
      <c r="N5141" s="44"/>
      <c r="O5141" s="44"/>
      <c r="P5141" s="44"/>
      <c r="Q5141" s="44"/>
      <c r="R5141" s="44"/>
      <c r="S5141" s="44"/>
      <c r="T5141" s="44"/>
      <c r="U5141" s="44"/>
      <c r="V5141" s="44"/>
      <c r="W5141" s="44"/>
      <c r="X5141" s="44"/>
      <c r="Y5141" s="44"/>
    </row>
    <row r="5142" spans="14:25" ht="15" customHeight="1" x14ac:dyDescent="0.25">
      <c r="N5142" s="44"/>
      <c r="O5142" s="44"/>
      <c r="P5142" s="44"/>
      <c r="Q5142" s="44"/>
      <c r="R5142" s="44"/>
      <c r="S5142" s="44"/>
      <c r="T5142" s="44"/>
      <c r="U5142" s="44"/>
      <c r="V5142" s="44"/>
      <c r="W5142" s="44"/>
      <c r="X5142" s="44"/>
      <c r="Y5142" s="44"/>
    </row>
    <row r="5143" spans="14:25" ht="15" customHeight="1" x14ac:dyDescent="0.25">
      <c r="N5143" s="44"/>
      <c r="O5143" s="44"/>
      <c r="P5143" s="44"/>
      <c r="Q5143" s="44"/>
      <c r="R5143" s="44"/>
      <c r="S5143" s="44"/>
      <c r="T5143" s="44"/>
      <c r="U5143" s="44"/>
      <c r="V5143" s="44"/>
      <c r="W5143" s="44"/>
      <c r="X5143" s="44"/>
      <c r="Y5143" s="44"/>
    </row>
    <row r="5144" spans="14:25" ht="15" customHeight="1" x14ac:dyDescent="0.25">
      <c r="N5144" s="44"/>
      <c r="O5144" s="44"/>
      <c r="P5144" s="44"/>
      <c r="Q5144" s="44"/>
      <c r="R5144" s="44"/>
      <c r="S5144" s="44"/>
      <c r="T5144" s="44"/>
      <c r="U5144" s="44"/>
      <c r="V5144" s="44"/>
      <c r="W5144" s="44"/>
      <c r="X5144" s="44"/>
      <c r="Y5144" s="44"/>
    </row>
    <row r="5145" spans="14:25" ht="15" customHeight="1" x14ac:dyDescent="0.25">
      <c r="N5145" s="44"/>
      <c r="O5145" s="44"/>
      <c r="P5145" s="44"/>
      <c r="Q5145" s="44"/>
      <c r="R5145" s="44"/>
      <c r="S5145" s="44"/>
      <c r="T5145" s="44"/>
      <c r="U5145" s="44"/>
      <c r="V5145" s="44"/>
      <c r="W5145" s="44"/>
      <c r="X5145" s="44"/>
      <c r="Y5145" s="44"/>
    </row>
    <row r="5146" spans="14:25" ht="15" customHeight="1" x14ac:dyDescent="0.25">
      <c r="N5146" s="44"/>
      <c r="O5146" s="44"/>
      <c r="P5146" s="44"/>
      <c r="Q5146" s="44"/>
      <c r="R5146" s="44"/>
      <c r="S5146" s="44"/>
      <c r="T5146" s="44"/>
      <c r="U5146" s="44"/>
      <c r="V5146" s="44"/>
      <c r="W5146" s="44"/>
      <c r="X5146" s="44"/>
      <c r="Y5146" s="44"/>
    </row>
    <row r="5147" spans="14:25" ht="15" customHeight="1" x14ac:dyDescent="0.25">
      <c r="N5147" s="44"/>
      <c r="O5147" s="44"/>
      <c r="P5147" s="44"/>
      <c r="Q5147" s="44"/>
      <c r="R5147" s="44"/>
      <c r="S5147" s="44"/>
      <c r="T5147" s="44"/>
      <c r="U5147" s="44"/>
      <c r="V5147" s="44"/>
      <c r="W5147" s="44"/>
      <c r="X5147" s="44"/>
      <c r="Y5147" s="44"/>
    </row>
    <row r="5148" spans="14:25" ht="15" customHeight="1" x14ac:dyDescent="0.25">
      <c r="N5148" s="44"/>
      <c r="O5148" s="44"/>
      <c r="P5148" s="44"/>
      <c r="Q5148" s="44"/>
      <c r="R5148" s="44"/>
      <c r="S5148" s="44"/>
      <c r="T5148" s="44"/>
      <c r="U5148" s="44"/>
      <c r="V5148" s="44"/>
      <c r="W5148" s="44"/>
      <c r="X5148" s="44"/>
      <c r="Y5148" s="44"/>
    </row>
    <row r="5149" spans="14:25" ht="15" customHeight="1" x14ac:dyDescent="0.25">
      <c r="N5149" s="44"/>
      <c r="O5149" s="44"/>
      <c r="P5149" s="44"/>
      <c r="Q5149" s="44"/>
      <c r="R5149" s="44"/>
      <c r="S5149" s="44"/>
      <c r="T5149" s="44"/>
      <c r="U5149" s="44"/>
      <c r="V5149" s="44"/>
      <c r="W5149" s="44"/>
      <c r="X5149" s="44"/>
      <c r="Y5149" s="44"/>
    </row>
    <row r="5150" spans="14:25" ht="15" customHeight="1" x14ac:dyDescent="0.25">
      <c r="N5150" s="44"/>
      <c r="O5150" s="44"/>
      <c r="P5150" s="44"/>
      <c r="Q5150" s="44"/>
      <c r="R5150" s="44"/>
      <c r="S5150" s="44"/>
      <c r="T5150" s="44"/>
      <c r="U5150" s="44"/>
      <c r="V5150" s="44"/>
      <c r="W5150" s="44"/>
      <c r="X5150" s="44"/>
      <c r="Y5150" s="44"/>
    </row>
    <row r="5151" spans="14:25" ht="15" customHeight="1" x14ac:dyDescent="0.25">
      <c r="N5151" s="44"/>
      <c r="O5151" s="44"/>
      <c r="P5151" s="44"/>
      <c r="Q5151" s="44"/>
      <c r="R5151" s="44"/>
      <c r="S5151" s="44"/>
      <c r="T5151" s="44"/>
      <c r="U5151" s="44"/>
      <c r="V5151" s="44"/>
      <c r="W5151" s="44"/>
      <c r="X5151" s="44"/>
      <c r="Y5151" s="44"/>
    </row>
    <row r="5152" spans="14:25" ht="15" customHeight="1" x14ac:dyDescent="0.25">
      <c r="N5152" s="44"/>
      <c r="O5152" s="44"/>
      <c r="P5152" s="44"/>
      <c r="Q5152" s="44"/>
      <c r="R5152" s="44"/>
      <c r="S5152" s="44"/>
      <c r="T5152" s="44"/>
      <c r="U5152" s="44"/>
      <c r="V5152" s="44"/>
      <c r="W5152" s="44"/>
      <c r="X5152" s="44"/>
      <c r="Y5152" s="44"/>
    </row>
    <row r="5153" spans="14:25" ht="15" customHeight="1" x14ac:dyDescent="0.25">
      <c r="N5153" s="44"/>
      <c r="O5153" s="44"/>
      <c r="P5153" s="44"/>
      <c r="Q5153" s="44"/>
      <c r="R5153" s="44"/>
      <c r="S5153" s="44"/>
      <c r="T5153" s="44"/>
      <c r="U5153" s="44"/>
      <c r="V5153" s="44"/>
      <c r="W5153" s="44"/>
      <c r="X5153" s="44"/>
      <c r="Y5153" s="44"/>
    </row>
    <row r="5154" spans="14:25" ht="15" customHeight="1" x14ac:dyDescent="0.25">
      <c r="N5154" s="44"/>
      <c r="O5154" s="44"/>
      <c r="P5154" s="44"/>
      <c r="Q5154" s="44"/>
      <c r="R5154" s="44"/>
      <c r="S5154" s="44"/>
      <c r="T5154" s="44"/>
      <c r="U5154" s="44"/>
      <c r="V5154" s="44"/>
      <c r="W5154" s="44"/>
      <c r="X5154" s="44"/>
      <c r="Y5154" s="44"/>
    </row>
    <row r="5155" spans="14:25" ht="15" customHeight="1" x14ac:dyDescent="0.25">
      <c r="N5155" s="44"/>
      <c r="O5155" s="44"/>
      <c r="P5155" s="44"/>
      <c r="Q5155" s="44"/>
      <c r="R5155" s="44"/>
      <c r="S5155" s="44"/>
      <c r="T5155" s="44"/>
      <c r="U5155" s="44"/>
      <c r="V5155" s="44"/>
      <c r="W5155" s="44"/>
      <c r="X5155" s="44"/>
      <c r="Y5155" s="44"/>
    </row>
    <row r="5156" spans="14:25" ht="15" customHeight="1" x14ac:dyDescent="0.25">
      <c r="N5156" s="44"/>
      <c r="O5156" s="44"/>
      <c r="P5156" s="44"/>
      <c r="Q5156" s="44"/>
      <c r="R5156" s="44"/>
      <c r="S5156" s="44"/>
      <c r="T5156" s="44"/>
      <c r="U5156" s="44"/>
      <c r="V5156" s="44"/>
      <c r="W5156" s="44"/>
      <c r="X5156" s="44"/>
      <c r="Y5156" s="44"/>
    </row>
    <row r="5157" spans="14:25" ht="15" customHeight="1" x14ac:dyDescent="0.25">
      <c r="N5157" s="44"/>
      <c r="O5157" s="44"/>
      <c r="P5157" s="44"/>
      <c r="Q5157" s="44"/>
      <c r="R5157" s="44"/>
      <c r="S5157" s="44"/>
      <c r="T5157" s="44"/>
      <c r="U5157" s="44"/>
      <c r="V5157" s="44"/>
      <c r="W5157" s="44"/>
      <c r="X5157" s="44"/>
      <c r="Y5157" s="44"/>
    </row>
    <row r="5158" spans="14:25" ht="15" customHeight="1" x14ac:dyDescent="0.25">
      <c r="N5158" s="44"/>
      <c r="O5158" s="44"/>
      <c r="P5158" s="44"/>
      <c r="Q5158" s="44"/>
      <c r="R5158" s="44"/>
      <c r="S5158" s="44"/>
      <c r="T5158" s="44"/>
      <c r="U5158" s="44"/>
      <c r="V5158" s="44"/>
      <c r="W5158" s="44"/>
      <c r="X5158" s="44"/>
      <c r="Y5158" s="44"/>
    </row>
    <row r="5159" spans="14:25" ht="15" customHeight="1" x14ac:dyDescent="0.25">
      <c r="N5159" s="44"/>
      <c r="O5159" s="44"/>
      <c r="P5159" s="44"/>
      <c r="Q5159" s="44"/>
      <c r="R5159" s="44"/>
      <c r="S5159" s="44"/>
      <c r="T5159" s="44"/>
      <c r="U5159" s="44"/>
      <c r="V5159" s="44"/>
      <c r="W5159" s="44"/>
      <c r="X5159" s="44"/>
      <c r="Y5159" s="44"/>
    </row>
    <row r="5160" spans="14:25" ht="15" customHeight="1" x14ac:dyDescent="0.25">
      <c r="N5160" s="44"/>
      <c r="O5160" s="44"/>
      <c r="P5160" s="44"/>
      <c r="Q5160" s="44"/>
      <c r="R5160" s="44"/>
      <c r="S5160" s="44"/>
      <c r="T5160" s="44"/>
      <c r="U5160" s="44"/>
      <c r="V5160" s="44"/>
      <c r="W5160" s="44"/>
      <c r="X5160" s="44"/>
      <c r="Y5160" s="44"/>
    </row>
    <row r="5161" spans="14:25" ht="15" customHeight="1" x14ac:dyDescent="0.25">
      <c r="N5161" s="44"/>
      <c r="O5161" s="44"/>
      <c r="P5161" s="44"/>
      <c r="Q5161" s="44"/>
      <c r="R5161" s="44"/>
      <c r="S5161" s="44"/>
      <c r="T5161" s="44"/>
      <c r="U5161" s="44"/>
      <c r="V5161" s="44"/>
      <c r="W5161" s="44"/>
      <c r="X5161" s="44"/>
      <c r="Y5161" s="44"/>
    </row>
    <row r="5162" spans="14:25" ht="15" customHeight="1" x14ac:dyDescent="0.25">
      <c r="N5162" s="44"/>
      <c r="O5162" s="44"/>
      <c r="P5162" s="44"/>
      <c r="Q5162" s="44"/>
      <c r="R5162" s="44"/>
      <c r="S5162" s="44"/>
      <c r="T5162" s="44"/>
      <c r="U5162" s="44"/>
      <c r="V5162" s="44"/>
      <c r="W5162" s="44"/>
      <c r="X5162" s="44"/>
      <c r="Y5162" s="44"/>
    </row>
    <row r="5163" spans="14:25" ht="15" customHeight="1" x14ac:dyDescent="0.25">
      <c r="N5163" s="44"/>
      <c r="O5163" s="44"/>
      <c r="P5163" s="44"/>
      <c r="Q5163" s="44"/>
      <c r="R5163" s="44"/>
      <c r="S5163" s="44"/>
      <c r="T5163" s="44"/>
      <c r="U5163" s="44"/>
      <c r="V5163" s="44"/>
      <c r="W5163" s="44"/>
      <c r="X5163" s="44"/>
      <c r="Y5163" s="44"/>
    </row>
    <row r="5164" spans="14:25" ht="15" customHeight="1" x14ac:dyDescent="0.25">
      <c r="N5164" s="44"/>
      <c r="O5164" s="44"/>
      <c r="P5164" s="44"/>
      <c r="Q5164" s="44"/>
      <c r="R5164" s="44"/>
      <c r="S5164" s="44"/>
      <c r="T5164" s="44"/>
      <c r="U5164" s="44"/>
      <c r="V5164" s="44"/>
      <c r="W5164" s="44"/>
      <c r="X5164" s="44"/>
      <c r="Y5164" s="44"/>
    </row>
    <row r="5165" spans="14:25" ht="15" customHeight="1" x14ac:dyDescent="0.25">
      <c r="N5165" s="44"/>
      <c r="O5165" s="44"/>
      <c r="P5165" s="44"/>
      <c r="Q5165" s="44"/>
      <c r="R5165" s="44"/>
      <c r="S5165" s="44"/>
      <c r="T5165" s="44"/>
      <c r="U5165" s="44"/>
      <c r="V5165" s="44"/>
      <c r="W5165" s="44"/>
      <c r="X5165" s="44"/>
      <c r="Y5165" s="44"/>
    </row>
    <row r="5166" spans="14:25" ht="15" customHeight="1" x14ac:dyDescent="0.25">
      <c r="N5166" s="44"/>
      <c r="O5166" s="44"/>
      <c r="P5166" s="44"/>
      <c r="Q5166" s="44"/>
      <c r="R5166" s="44"/>
      <c r="S5166" s="44"/>
      <c r="T5166" s="44"/>
      <c r="U5166" s="44"/>
      <c r="V5166" s="44"/>
      <c r="W5166" s="44"/>
      <c r="X5166" s="44"/>
      <c r="Y5166" s="44"/>
    </row>
    <row r="5167" spans="14:25" ht="15" customHeight="1" x14ac:dyDescent="0.25">
      <c r="N5167" s="44"/>
      <c r="O5167" s="44"/>
      <c r="P5167" s="44"/>
      <c r="Q5167" s="44"/>
      <c r="R5167" s="44"/>
      <c r="S5167" s="44"/>
      <c r="T5167" s="44"/>
      <c r="U5167" s="44"/>
      <c r="V5167" s="44"/>
      <c r="W5167" s="44"/>
      <c r="X5167" s="44"/>
      <c r="Y5167" s="44"/>
    </row>
    <row r="5168" spans="14:25" ht="15" customHeight="1" x14ac:dyDescent="0.25">
      <c r="N5168" s="44"/>
      <c r="O5168" s="44"/>
      <c r="P5168" s="44"/>
      <c r="Q5168" s="44"/>
      <c r="R5168" s="44"/>
      <c r="S5168" s="44"/>
      <c r="T5168" s="44"/>
      <c r="U5168" s="44"/>
      <c r="V5168" s="44"/>
      <c r="W5168" s="44"/>
      <c r="X5168" s="44"/>
      <c r="Y5168" s="44"/>
    </row>
    <row r="5169" spans="14:25" ht="15" customHeight="1" x14ac:dyDescent="0.25">
      <c r="N5169" s="44"/>
      <c r="O5169" s="44"/>
      <c r="P5169" s="44"/>
      <c r="Q5169" s="44"/>
      <c r="R5169" s="44"/>
      <c r="S5169" s="44"/>
      <c r="T5169" s="44"/>
      <c r="U5169" s="44"/>
      <c r="V5169" s="44"/>
      <c r="W5169" s="44"/>
      <c r="X5169" s="44"/>
      <c r="Y5169" s="44"/>
    </row>
    <row r="5170" spans="14:25" ht="15" customHeight="1" x14ac:dyDescent="0.25">
      <c r="N5170" s="44"/>
      <c r="O5170" s="44"/>
      <c r="P5170" s="44"/>
      <c r="Q5170" s="44"/>
      <c r="R5170" s="44"/>
      <c r="S5170" s="44"/>
      <c r="T5170" s="44"/>
      <c r="U5170" s="44"/>
      <c r="V5170" s="44"/>
      <c r="W5170" s="44"/>
      <c r="X5170" s="44"/>
      <c r="Y5170" s="44"/>
    </row>
    <row r="5171" spans="14:25" ht="15" customHeight="1" x14ac:dyDescent="0.25">
      <c r="N5171" s="44"/>
      <c r="O5171" s="44"/>
      <c r="P5171" s="44"/>
      <c r="Q5171" s="44"/>
      <c r="R5171" s="44"/>
      <c r="S5171" s="44"/>
      <c r="T5171" s="44"/>
      <c r="U5171" s="44"/>
      <c r="V5171" s="44"/>
      <c r="W5171" s="44"/>
      <c r="X5171" s="44"/>
      <c r="Y5171" s="44"/>
    </row>
    <row r="5172" spans="14:25" ht="15" customHeight="1" x14ac:dyDescent="0.25">
      <c r="N5172" s="44"/>
      <c r="O5172" s="44"/>
      <c r="P5172" s="44"/>
      <c r="Q5172" s="44"/>
      <c r="R5172" s="44"/>
      <c r="S5172" s="44"/>
      <c r="T5172" s="44"/>
      <c r="U5172" s="44"/>
      <c r="V5172" s="44"/>
      <c r="W5172" s="44"/>
      <c r="X5172" s="44"/>
      <c r="Y5172" s="44"/>
    </row>
    <row r="5173" spans="14:25" ht="15" customHeight="1" x14ac:dyDescent="0.25">
      <c r="N5173" s="44"/>
      <c r="O5173" s="44"/>
      <c r="P5173" s="44"/>
      <c r="Q5173" s="44"/>
      <c r="R5173" s="44"/>
      <c r="S5173" s="44"/>
      <c r="T5173" s="44"/>
      <c r="U5173" s="44"/>
      <c r="V5173" s="44"/>
      <c r="W5173" s="44"/>
      <c r="X5173" s="44"/>
      <c r="Y5173" s="44"/>
    </row>
    <row r="5174" spans="14:25" ht="15" customHeight="1" x14ac:dyDescent="0.25">
      <c r="N5174" s="44"/>
      <c r="O5174" s="44"/>
      <c r="P5174" s="44"/>
      <c r="Q5174" s="44"/>
      <c r="R5174" s="44"/>
      <c r="S5174" s="44"/>
      <c r="T5174" s="44"/>
      <c r="U5174" s="44"/>
      <c r="V5174" s="44"/>
      <c r="W5174" s="44"/>
      <c r="X5174" s="44"/>
      <c r="Y5174" s="44"/>
    </row>
    <row r="5175" spans="14:25" ht="15" customHeight="1" x14ac:dyDescent="0.25">
      <c r="N5175" s="44"/>
      <c r="O5175" s="44"/>
      <c r="P5175" s="44"/>
      <c r="Q5175" s="44"/>
      <c r="R5175" s="44"/>
      <c r="S5175" s="44"/>
      <c r="T5175" s="44"/>
      <c r="U5175" s="44"/>
      <c r="V5175" s="44"/>
      <c r="W5175" s="44"/>
      <c r="X5175" s="44"/>
      <c r="Y5175" s="44"/>
    </row>
    <row r="5176" spans="14:25" ht="15" customHeight="1" x14ac:dyDescent="0.25">
      <c r="N5176" s="44"/>
      <c r="O5176" s="44"/>
      <c r="P5176" s="44"/>
      <c r="Q5176" s="44"/>
      <c r="R5176" s="44"/>
      <c r="S5176" s="44"/>
      <c r="T5176" s="44"/>
      <c r="U5176" s="44"/>
      <c r="V5176" s="44"/>
      <c r="W5176" s="44"/>
      <c r="X5176" s="44"/>
      <c r="Y5176" s="44"/>
    </row>
    <row r="5177" spans="14:25" ht="15" customHeight="1" x14ac:dyDescent="0.25">
      <c r="N5177" s="44"/>
      <c r="O5177" s="44"/>
      <c r="P5177" s="44"/>
      <c r="Q5177" s="44"/>
      <c r="R5177" s="44"/>
      <c r="S5177" s="44"/>
      <c r="T5177" s="44"/>
      <c r="U5177" s="44"/>
      <c r="V5177" s="44"/>
      <c r="W5177" s="44"/>
      <c r="X5177" s="44"/>
      <c r="Y5177" s="44"/>
    </row>
    <row r="5178" spans="14:25" ht="15" customHeight="1" x14ac:dyDescent="0.25">
      <c r="N5178" s="44"/>
      <c r="O5178" s="44"/>
      <c r="P5178" s="44"/>
      <c r="Q5178" s="44"/>
      <c r="R5178" s="44"/>
      <c r="S5178" s="44"/>
      <c r="T5178" s="44"/>
      <c r="U5178" s="44"/>
      <c r="V5178" s="44"/>
      <c r="W5178" s="44"/>
      <c r="X5178" s="44"/>
      <c r="Y5178" s="44"/>
    </row>
    <row r="5179" spans="14:25" ht="15" customHeight="1" x14ac:dyDescent="0.25">
      <c r="N5179" s="44"/>
      <c r="O5179" s="44"/>
      <c r="P5179" s="44"/>
      <c r="Q5179" s="44"/>
      <c r="R5179" s="44"/>
      <c r="S5179" s="44"/>
      <c r="T5179" s="44"/>
      <c r="U5179" s="44"/>
      <c r="V5179" s="44"/>
      <c r="W5179" s="44"/>
      <c r="X5179" s="44"/>
      <c r="Y5179" s="44"/>
    </row>
    <row r="5180" spans="14:25" ht="15" customHeight="1" x14ac:dyDescent="0.25">
      <c r="N5180" s="44"/>
      <c r="O5180" s="44"/>
      <c r="P5180" s="44"/>
      <c r="Q5180" s="44"/>
      <c r="R5180" s="44"/>
      <c r="S5180" s="44"/>
      <c r="T5180" s="44"/>
      <c r="U5180" s="44"/>
      <c r="V5180" s="44"/>
      <c r="W5180" s="44"/>
      <c r="X5180" s="44"/>
      <c r="Y5180" s="44"/>
    </row>
    <row r="5181" spans="14:25" ht="15" customHeight="1" x14ac:dyDescent="0.25">
      <c r="N5181" s="44"/>
      <c r="O5181" s="44"/>
      <c r="P5181" s="44"/>
      <c r="Q5181" s="44"/>
      <c r="R5181" s="44"/>
      <c r="S5181" s="44"/>
      <c r="T5181" s="44"/>
      <c r="U5181" s="44"/>
      <c r="V5181" s="44"/>
      <c r="W5181" s="44"/>
      <c r="X5181" s="44"/>
      <c r="Y5181" s="44"/>
    </row>
    <row r="5182" spans="14:25" ht="15" customHeight="1" x14ac:dyDescent="0.25">
      <c r="N5182" s="44"/>
      <c r="O5182" s="44"/>
      <c r="P5182" s="44"/>
      <c r="Q5182" s="44"/>
      <c r="R5182" s="44"/>
      <c r="S5182" s="44"/>
      <c r="T5182" s="44"/>
      <c r="U5182" s="44"/>
      <c r="V5182" s="44"/>
      <c r="W5182" s="44"/>
      <c r="X5182" s="44"/>
      <c r="Y5182" s="44"/>
    </row>
    <row r="5183" spans="14:25" ht="15" customHeight="1" x14ac:dyDescent="0.25">
      <c r="N5183" s="44"/>
      <c r="O5183" s="44"/>
      <c r="P5183" s="44"/>
      <c r="Q5183" s="44"/>
      <c r="R5183" s="44"/>
      <c r="S5183" s="44"/>
      <c r="T5183" s="44"/>
      <c r="U5183" s="44"/>
      <c r="V5183" s="44"/>
      <c r="W5183" s="44"/>
      <c r="X5183" s="44"/>
      <c r="Y5183" s="44"/>
    </row>
    <row r="5184" spans="14:25" ht="15" customHeight="1" x14ac:dyDescent="0.25">
      <c r="N5184" s="44"/>
      <c r="O5184" s="44"/>
      <c r="P5184" s="44"/>
      <c r="Q5184" s="44"/>
      <c r="R5184" s="44"/>
      <c r="S5184" s="44"/>
      <c r="T5184" s="44"/>
      <c r="U5184" s="44"/>
      <c r="V5184" s="44"/>
      <c r="W5184" s="44"/>
      <c r="X5184" s="44"/>
      <c r="Y5184" s="44"/>
    </row>
    <row r="5185" spans="14:25" ht="15" customHeight="1" x14ac:dyDescent="0.25">
      <c r="N5185" s="44"/>
      <c r="O5185" s="44"/>
      <c r="P5185" s="44"/>
      <c r="Q5185" s="44"/>
      <c r="R5185" s="44"/>
      <c r="S5185" s="44"/>
      <c r="T5185" s="44"/>
      <c r="U5185" s="44"/>
      <c r="V5185" s="44"/>
      <c r="W5185" s="44"/>
      <c r="X5185" s="44"/>
      <c r="Y5185" s="44"/>
    </row>
    <row r="5186" spans="14:25" ht="15" customHeight="1" x14ac:dyDescent="0.25">
      <c r="N5186" s="44"/>
      <c r="O5186" s="44"/>
      <c r="P5186" s="44"/>
      <c r="Q5186" s="44"/>
      <c r="R5186" s="44"/>
      <c r="S5186" s="44"/>
      <c r="T5186" s="44"/>
      <c r="U5186" s="44"/>
      <c r="V5186" s="44"/>
      <c r="W5186" s="44"/>
      <c r="X5186" s="44"/>
      <c r="Y5186" s="44"/>
    </row>
    <row r="5187" spans="14:25" ht="15" customHeight="1" x14ac:dyDescent="0.25">
      <c r="N5187" s="44"/>
      <c r="O5187" s="44"/>
      <c r="P5187" s="44"/>
      <c r="Q5187" s="44"/>
      <c r="R5187" s="44"/>
      <c r="S5187" s="44"/>
      <c r="T5187" s="44"/>
      <c r="U5187" s="44"/>
      <c r="V5187" s="44"/>
      <c r="W5187" s="44"/>
      <c r="X5187" s="44"/>
      <c r="Y5187" s="44"/>
    </row>
    <row r="5188" spans="14:25" ht="15" customHeight="1" x14ac:dyDescent="0.25">
      <c r="N5188" s="44"/>
      <c r="O5188" s="44"/>
      <c r="P5188" s="44"/>
      <c r="Q5188" s="44"/>
      <c r="R5188" s="44"/>
      <c r="S5188" s="44"/>
      <c r="T5188" s="44"/>
      <c r="U5188" s="44"/>
      <c r="V5188" s="44"/>
      <c r="W5188" s="44"/>
      <c r="X5188" s="44"/>
      <c r="Y5188" s="44"/>
    </row>
    <row r="5189" spans="14:25" ht="15" customHeight="1" x14ac:dyDescent="0.25">
      <c r="N5189" s="44"/>
      <c r="O5189" s="44"/>
      <c r="P5189" s="44"/>
      <c r="Q5189" s="44"/>
      <c r="R5189" s="44"/>
      <c r="S5189" s="44"/>
      <c r="T5189" s="44"/>
      <c r="U5189" s="44"/>
      <c r="V5189" s="44"/>
      <c r="W5189" s="44"/>
      <c r="X5189" s="44"/>
      <c r="Y5189" s="44"/>
    </row>
    <row r="5190" spans="14:25" ht="15" customHeight="1" x14ac:dyDescent="0.25">
      <c r="N5190" s="44"/>
      <c r="O5190" s="44"/>
      <c r="P5190" s="44"/>
      <c r="Q5190" s="44"/>
      <c r="R5190" s="44"/>
      <c r="S5190" s="44"/>
      <c r="T5190" s="44"/>
      <c r="U5190" s="44"/>
      <c r="V5190" s="44"/>
      <c r="W5190" s="44"/>
      <c r="X5190" s="44"/>
      <c r="Y5190" s="44"/>
    </row>
    <row r="5191" spans="14:25" ht="15" customHeight="1" x14ac:dyDescent="0.25">
      <c r="N5191" s="44"/>
      <c r="O5191" s="44"/>
      <c r="P5191" s="44"/>
      <c r="Q5191" s="44"/>
      <c r="R5191" s="44"/>
      <c r="S5191" s="44"/>
      <c r="T5191" s="44"/>
      <c r="U5191" s="44"/>
      <c r="V5191" s="44"/>
      <c r="W5191" s="44"/>
      <c r="X5191" s="44"/>
      <c r="Y5191" s="44"/>
    </row>
    <row r="5192" spans="14:25" ht="15" customHeight="1" x14ac:dyDescent="0.25">
      <c r="N5192" s="44"/>
      <c r="O5192" s="44"/>
      <c r="P5192" s="44"/>
      <c r="Q5192" s="44"/>
      <c r="R5192" s="44"/>
      <c r="S5192" s="44"/>
      <c r="T5192" s="44"/>
      <c r="U5192" s="44"/>
      <c r="V5192" s="44"/>
      <c r="W5192" s="44"/>
      <c r="X5192" s="44"/>
      <c r="Y5192" s="44"/>
    </row>
    <row r="5193" spans="14:25" ht="15" customHeight="1" x14ac:dyDescent="0.25">
      <c r="N5193" s="44"/>
      <c r="O5193" s="44"/>
      <c r="P5193" s="44"/>
      <c r="Q5193" s="44"/>
      <c r="R5193" s="44"/>
      <c r="S5193" s="44"/>
      <c r="T5193" s="44"/>
      <c r="U5193" s="44"/>
      <c r="V5193" s="44"/>
      <c r="W5193" s="44"/>
      <c r="X5193" s="44"/>
      <c r="Y5193" s="44"/>
    </row>
    <row r="5194" spans="14:25" ht="15" customHeight="1" x14ac:dyDescent="0.25">
      <c r="N5194" s="44"/>
      <c r="O5194" s="44"/>
      <c r="P5194" s="44"/>
      <c r="Q5194" s="44"/>
      <c r="R5194" s="44"/>
      <c r="S5194" s="44"/>
      <c r="T5194" s="44"/>
      <c r="U5194" s="44"/>
      <c r="V5194" s="44"/>
      <c r="W5194" s="44"/>
      <c r="X5194" s="44"/>
      <c r="Y5194" s="44"/>
    </row>
    <row r="5195" spans="14:25" ht="15" customHeight="1" x14ac:dyDescent="0.25">
      <c r="N5195" s="44"/>
      <c r="O5195" s="44"/>
      <c r="P5195" s="44"/>
      <c r="Q5195" s="44"/>
      <c r="R5195" s="44"/>
      <c r="S5195" s="44"/>
      <c r="T5195" s="44"/>
      <c r="U5195" s="44"/>
      <c r="V5195" s="44"/>
      <c r="W5195" s="44"/>
      <c r="X5195" s="44"/>
      <c r="Y5195" s="44"/>
    </row>
    <row r="5196" spans="14:25" ht="15" customHeight="1" x14ac:dyDescent="0.25">
      <c r="N5196" s="44"/>
      <c r="O5196" s="44"/>
      <c r="P5196" s="44"/>
      <c r="Q5196" s="44"/>
      <c r="R5196" s="44"/>
      <c r="S5196" s="44"/>
      <c r="T5196" s="44"/>
      <c r="U5196" s="44"/>
      <c r="V5196" s="44"/>
      <c r="W5196" s="44"/>
      <c r="X5196" s="44"/>
      <c r="Y5196" s="44"/>
    </row>
    <row r="5197" spans="14:25" ht="15" customHeight="1" x14ac:dyDescent="0.25">
      <c r="N5197" s="44"/>
      <c r="O5197" s="44"/>
      <c r="P5197" s="44"/>
      <c r="Q5197" s="44"/>
      <c r="R5197" s="44"/>
      <c r="S5197" s="44"/>
      <c r="T5197" s="44"/>
      <c r="U5197" s="44"/>
      <c r="V5197" s="44"/>
      <c r="W5197" s="44"/>
      <c r="X5197" s="44"/>
      <c r="Y5197" s="44"/>
    </row>
    <row r="5198" spans="14:25" ht="15" customHeight="1" x14ac:dyDescent="0.25">
      <c r="N5198" s="44"/>
      <c r="O5198" s="44"/>
      <c r="P5198" s="44"/>
      <c r="Q5198" s="44"/>
      <c r="R5198" s="44"/>
      <c r="S5198" s="44"/>
      <c r="T5198" s="44"/>
      <c r="U5198" s="44"/>
      <c r="V5198" s="44"/>
      <c r="W5198" s="44"/>
      <c r="X5198" s="44"/>
      <c r="Y5198" s="44"/>
    </row>
    <row r="5199" spans="14:25" ht="15" customHeight="1" x14ac:dyDescent="0.25">
      <c r="N5199" s="44"/>
      <c r="O5199" s="44"/>
      <c r="P5199" s="44"/>
      <c r="Q5199" s="44"/>
      <c r="R5199" s="44"/>
      <c r="S5199" s="44"/>
      <c r="T5199" s="44"/>
      <c r="U5199" s="44"/>
      <c r="V5199" s="44"/>
      <c r="W5199" s="44"/>
      <c r="X5199" s="44"/>
      <c r="Y5199" s="44"/>
    </row>
    <row r="5200" spans="14:25" ht="15" customHeight="1" x14ac:dyDescent="0.25">
      <c r="N5200" s="44"/>
      <c r="O5200" s="44"/>
      <c r="P5200" s="44"/>
      <c r="Q5200" s="44"/>
      <c r="R5200" s="44"/>
      <c r="S5200" s="44"/>
      <c r="T5200" s="44"/>
      <c r="U5200" s="44"/>
      <c r="V5200" s="44"/>
      <c r="W5200" s="44"/>
      <c r="X5200" s="44"/>
      <c r="Y5200" s="44"/>
    </row>
    <row r="5201" spans="14:25" ht="15" customHeight="1" x14ac:dyDescent="0.25">
      <c r="N5201" s="44"/>
      <c r="O5201" s="44"/>
      <c r="P5201" s="44"/>
      <c r="Q5201" s="44"/>
      <c r="R5201" s="44"/>
      <c r="S5201" s="44"/>
      <c r="T5201" s="44"/>
      <c r="U5201" s="44"/>
      <c r="V5201" s="44"/>
      <c r="W5201" s="44"/>
      <c r="X5201" s="44"/>
      <c r="Y5201" s="44"/>
    </row>
    <row r="5202" spans="14:25" ht="15" customHeight="1" x14ac:dyDescent="0.25">
      <c r="N5202" s="44"/>
      <c r="O5202" s="44"/>
      <c r="P5202" s="44"/>
      <c r="Q5202" s="44"/>
      <c r="R5202" s="44"/>
      <c r="S5202" s="44"/>
      <c r="T5202" s="44"/>
      <c r="U5202" s="44"/>
      <c r="V5202" s="44"/>
      <c r="W5202" s="44"/>
      <c r="X5202" s="44"/>
      <c r="Y5202" s="44"/>
    </row>
    <row r="5203" spans="14:25" ht="15" customHeight="1" x14ac:dyDescent="0.25">
      <c r="N5203" s="44"/>
      <c r="O5203" s="44"/>
      <c r="P5203" s="44"/>
      <c r="Q5203" s="44"/>
      <c r="R5203" s="44"/>
      <c r="S5203" s="44"/>
      <c r="T5203" s="44"/>
      <c r="U5203" s="44"/>
      <c r="V5203" s="44"/>
      <c r="W5203" s="44"/>
      <c r="X5203" s="44"/>
      <c r="Y5203" s="44"/>
    </row>
    <row r="5204" spans="14:25" ht="15" customHeight="1" x14ac:dyDescent="0.25">
      <c r="N5204" s="44"/>
      <c r="O5204" s="44"/>
      <c r="P5204" s="44"/>
      <c r="Q5204" s="44"/>
      <c r="R5204" s="44"/>
      <c r="S5204" s="44"/>
      <c r="T5204" s="44"/>
      <c r="U5204" s="44"/>
      <c r="V5204" s="44"/>
      <c r="W5204" s="44"/>
      <c r="X5204" s="44"/>
      <c r="Y5204" s="44"/>
    </row>
    <row r="5205" spans="14:25" ht="15" customHeight="1" x14ac:dyDescent="0.25">
      <c r="N5205" s="44"/>
      <c r="O5205" s="44"/>
      <c r="P5205" s="44"/>
      <c r="Q5205" s="44"/>
      <c r="R5205" s="44"/>
      <c r="S5205" s="44"/>
      <c r="T5205" s="44"/>
      <c r="U5205" s="44"/>
      <c r="V5205" s="44"/>
      <c r="W5205" s="44"/>
      <c r="X5205" s="44"/>
      <c r="Y5205" s="44"/>
    </row>
    <row r="5206" spans="14:25" ht="15" customHeight="1" x14ac:dyDescent="0.25">
      <c r="N5206" s="44"/>
      <c r="O5206" s="44"/>
      <c r="P5206" s="44"/>
      <c r="Q5206" s="44"/>
      <c r="R5206" s="44"/>
      <c r="S5206" s="44"/>
      <c r="T5206" s="44"/>
      <c r="U5206" s="44"/>
      <c r="V5206" s="44"/>
      <c r="W5206" s="44"/>
      <c r="X5206" s="44"/>
      <c r="Y5206" s="44"/>
    </row>
    <row r="5207" spans="14:25" ht="15" customHeight="1" x14ac:dyDescent="0.25">
      <c r="N5207" s="44"/>
      <c r="O5207" s="44"/>
      <c r="P5207" s="44"/>
      <c r="Q5207" s="44"/>
      <c r="R5207" s="44"/>
      <c r="S5207" s="44"/>
      <c r="T5207" s="44"/>
      <c r="U5207" s="44"/>
      <c r="V5207" s="44"/>
      <c r="W5207" s="44"/>
      <c r="X5207" s="44"/>
      <c r="Y5207" s="44"/>
    </row>
    <row r="5208" spans="14:25" ht="15" customHeight="1" x14ac:dyDescent="0.25">
      <c r="N5208" s="44"/>
      <c r="O5208" s="44"/>
      <c r="P5208" s="44"/>
      <c r="Q5208" s="44"/>
      <c r="R5208" s="44"/>
      <c r="S5208" s="44"/>
      <c r="T5208" s="44"/>
      <c r="U5208" s="44"/>
      <c r="V5208" s="44"/>
      <c r="W5208" s="44"/>
      <c r="X5208" s="44"/>
      <c r="Y5208" s="44"/>
    </row>
    <row r="5209" spans="14:25" ht="15" customHeight="1" x14ac:dyDescent="0.25">
      <c r="N5209" s="44"/>
      <c r="O5209" s="44"/>
      <c r="P5209" s="44"/>
      <c r="Q5209" s="44"/>
      <c r="R5209" s="44"/>
      <c r="S5209" s="44"/>
      <c r="T5209" s="44"/>
      <c r="U5209" s="44"/>
      <c r="V5209" s="44"/>
      <c r="W5209" s="44"/>
      <c r="X5209" s="44"/>
      <c r="Y5209" s="44"/>
    </row>
    <row r="5210" spans="14:25" ht="15" customHeight="1" x14ac:dyDescent="0.25">
      <c r="N5210" s="44"/>
      <c r="O5210" s="44"/>
      <c r="P5210" s="44"/>
      <c r="Q5210" s="44"/>
      <c r="R5210" s="44"/>
      <c r="S5210" s="44"/>
      <c r="T5210" s="44"/>
      <c r="U5210" s="44"/>
      <c r="V5210" s="44"/>
      <c r="W5210" s="44"/>
      <c r="X5210" s="44"/>
      <c r="Y5210" s="44"/>
    </row>
    <row r="5211" spans="14:25" ht="15" customHeight="1" x14ac:dyDescent="0.25">
      <c r="N5211" s="44"/>
      <c r="O5211" s="44"/>
      <c r="P5211" s="44"/>
      <c r="Q5211" s="44"/>
      <c r="R5211" s="44"/>
      <c r="S5211" s="44"/>
      <c r="T5211" s="44"/>
      <c r="U5211" s="44"/>
      <c r="V5211" s="44"/>
      <c r="W5211" s="44"/>
      <c r="X5211" s="44"/>
      <c r="Y5211" s="44"/>
    </row>
    <row r="5212" spans="14:25" ht="15" customHeight="1" x14ac:dyDescent="0.25">
      <c r="N5212" s="44"/>
      <c r="O5212" s="44"/>
      <c r="P5212" s="44"/>
      <c r="Q5212" s="44"/>
      <c r="R5212" s="44"/>
      <c r="S5212" s="44"/>
      <c r="T5212" s="44"/>
      <c r="U5212" s="44"/>
      <c r="V5212" s="44"/>
      <c r="W5212" s="44"/>
      <c r="X5212" s="44"/>
      <c r="Y5212" s="44"/>
    </row>
    <row r="5213" spans="14:25" ht="15" customHeight="1" x14ac:dyDescent="0.25">
      <c r="N5213" s="44"/>
      <c r="O5213" s="44"/>
      <c r="P5213" s="44"/>
      <c r="Q5213" s="44"/>
      <c r="R5213" s="44"/>
      <c r="S5213" s="44"/>
      <c r="T5213" s="44"/>
      <c r="U5213" s="44"/>
      <c r="V5213" s="44"/>
      <c r="W5213" s="44"/>
      <c r="X5213" s="44"/>
      <c r="Y5213" s="44"/>
    </row>
    <row r="5214" spans="14:25" ht="15" customHeight="1" x14ac:dyDescent="0.25">
      <c r="N5214" s="44"/>
      <c r="O5214" s="44"/>
      <c r="P5214" s="44"/>
      <c r="Q5214" s="44"/>
      <c r="R5214" s="44"/>
      <c r="S5214" s="44"/>
      <c r="T5214" s="44"/>
      <c r="U5214" s="44"/>
      <c r="V5214" s="44"/>
      <c r="W5214" s="44"/>
      <c r="X5214" s="44"/>
      <c r="Y5214" s="44"/>
    </row>
    <row r="5215" spans="14:25" ht="15" customHeight="1" x14ac:dyDescent="0.25">
      <c r="N5215" s="44"/>
      <c r="O5215" s="44"/>
      <c r="P5215" s="44"/>
      <c r="Q5215" s="44"/>
      <c r="R5215" s="44"/>
      <c r="S5215" s="44"/>
      <c r="T5215" s="44"/>
      <c r="U5215" s="44"/>
      <c r="V5215" s="44"/>
      <c r="W5215" s="44"/>
      <c r="X5215" s="44"/>
      <c r="Y5215" s="44"/>
    </row>
    <row r="5216" spans="14:25" ht="15" customHeight="1" x14ac:dyDescent="0.25">
      <c r="N5216" s="44"/>
      <c r="O5216" s="44"/>
      <c r="P5216" s="44"/>
      <c r="Q5216" s="44"/>
      <c r="R5216" s="44"/>
      <c r="S5216" s="44"/>
      <c r="T5216" s="44"/>
      <c r="U5216" s="44"/>
      <c r="V5216" s="44"/>
      <c r="W5216" s="44"/>
      <c r="X5216" s="44"/>
      <c r="Y5216" s="44"/>
    </row>
    <row r="5217" spans="14:25" ht="15" customHeight="1" x14ac:dyDescent="0.25">
      <c r="N5217" s="44"/>
      <c r="O5217" s="44"/>
      <c r="P5217" s="44"/>
      <c r="Q5217" s="44"/>
      <c r="R5217" s="44"/>
      <c r="S5217" s="44"/>
      <c r="T5217" s="44"/>
      <c r="U5217" s="44"/>
      <c r="V5217" s="44"/>
      <c r="W5217" s="44"/>
      <c r="X5217" s="44"/>
      <c r="Y5217" s="44"/>
    </row>
    <row r="5218" spans="14:25" ht="15" customHeight="1" x14ac:dyDescent="0.25">
      <c r="N5218" s="44"/>
      <c r="O5218" s="44"/>
      <c r="P5218" s="44"/>
      <c r="Q5218" s="44"/>
      <c r="R5218" s="44"/>
      <c r="S5218" s="44"/>
      <c r="T5218" s="44"/>
      <c r="U5218" s="44"/>
      <c r="V5218" s="44"/>
      <c r="W5218" s="44"/>
      <c r="X5218" s="44"/>
      <c r="Y5218" s="44"/>
    </row>
    <row r="5219" spans="14:25" ht="15" customHeight="1" x14ac:dyDescent="0.25">
      <c r="N5219" s="44"/>
      <c r="O5219" s="44"/>
      <c r="P5219" s="44"/>
      <c r="Q5219" s="44"/>
      <c r="R5219" s="44"/>
      <c r="S5219" s="44"/>
      <c r="T5219" s="44"/>
      <c r="U5219" s="44"/>
      <c r="V5219" s="44"/>
      <c r="W5219" s="44"/>
      <c r="X5219" s="44"/>
      <c r="Y5219" s="44"/>
    </row>
    <row r="5220" spans="14:25" ht="15" customHeight="1" x14ac:dyDescent="0.25">
      <c r="N5220" s="44"/>
      <c r="O5220" s="44"/>
      <c r="P5220" s="44"/>
      <c r="Q5220" s="44"/>
      <c r="R5220" s="44"/>
      <c r="S5220" s="44"/>
      <c r="T5220" s="44"/>
      <c r="U5220" s="44"/>
      <c r="V5220" s="44"/>
      <c r="W5220" s="44"/>
      <c r="X5220" s="44"/>
      <c r="Y5220" s="44"/>
    </row>
    <row r="5221" spans="14:25" ht="15" customHeight="1" x14ac:dyDescent="0.25">
      <c r="N5221" s="44"/>
      <c r="O5221" s="44"/>
      <c r="P5221" s="44"/>
      <c r="Q5221" s="44"/>
      <c r="R5221" s="44"/>
      <c r="S5221" s="44"/>
      <c r="T5221" s="44"/>
      <c r="U5221" s="44"/>
      <c r="V5221" s="44"/>
      <c r="W5221" s="44"/>
      <c r="X5221" s="44"/>
      <c r="Y5221" s="44"/>
    </row>
    <row r="5222" spans="14:25" ht="15" customHeight="1" x14ac:dyDescent="0.25">
      <c r="N5222" s="44"/>
      <c r="O5222" s="44"/>
      <c r="P5222" s="44"/>
      <c r="Q5222" s="44"/>
      <c r="R5222" s="44"/>
      <c r="S5222" s="44"/>
      <c r="T5222" s="44"/>
      <c r="U5222" s="44"/>
      <c r="V5222" s="44"/>
      <c r="W5222" s="44"/>
      <c r="X5222" s="44"/>
      <c r="Y5222" s="44"/>
    </row>
    <row r="5223" spans="14:25" ht="15" customHeight="1" x14ac:dyDescent="0.25">
      <c r="N5223" s="44"/>
      <c r="O5223" s="44"/>
      <c r="P5223" s="44"/>
      <c r="Q5223" s="44"/>
      <c r="R5223" s="44"/>
      <c r="S5223" s="44"/>
      <c r="T5223" s="44"/>
      <c r="U5223" s="44"/>
      <c r="V5223" s="44"/>
      <c r="W5223" s="44"/>
      <c r="X5223" s="44"/>
      <c r="Y5223" s="44"/>
    </row>
    <row r="5224" spans="14:25" ht="15" customHeight="1" x14ac:dyDescent="0.25">
      <c r="N5224" s="44"/>
      <c r="O5224" s="44"/>
      <c r="P5224" s="44"/>
      <c r="Q5224" s="44"/>
      <c r="R5224" s="44"/>
      <c r="S5224" s="44"/>
      <c r="T5224" s="44"/>
      <c r="U5224" s="44"/>
      <c r="V5224" s="44"/>
      <c r="W5224" s="44"/>
      <c r="X5224" s="44"/>
      <c r="Y5224" s="44"/>
    </row>
    <row r="5225" spans="14:25" ht="15" customHeight="1" x14ac:dyDescent="0.25">
      <c r="N5225" s="44"/>
      <c r="O5225" s="44"/>
      <c r="P5225" s="44"/>
      <c r="Q5225" s="44"/>
      <c r="R5225" s="44"/>
      <c r="S5225" s="44"/>
      <c r="T5225" s="44"/>
      <c r="U5225" s="44"/>
      <c r="V5225" s="44"/>
      <c r="W5225" s="44"/>
      <c r="X5225" s="44"/>
      <c r="Y5225" s="44"/>
    </row>
    <row r="5226" spans="14:25" ht="15" customHeight="1" x14ac:dyDescent="0.25">
      <c r="N5226" s="44"/>
      <c r="O5226" s="44"/>
      <c r="P5226" s="44"/>
      <c r="Q5226" s="44"/>
      <c r="R5226" s="44"/>
      <c r="S5226" s="44"/>
      <c r="T5226" s="44"/>
      <c r="U5226" s="44"/>
      <c r="V5226" s="44"/>
      <c r="W5226" s="44"/>
      <c r="X5226" s="44"/>
      <c r="Y5226" s="44"/>
    </row>
    <row r="5227" spans="14:25" ht="15" customHeight="1" x14ac:dyDescent="0.25">
      <c r="N5227" s="44"/>
      <c r="O5227" s="44"/>
      <c r="P5227" s="44"/>
      <c r="Q5227" s="44"/>
      <c r="R5227" s="44"/>
      <c r="S5227" s="44"/>
      <c r="T5227" s="44"/>
      <c r="U5227" s="44"/>
      <c r="V5227" s="44"/>
      <c r="W5227" s="44"/>
      <c r="X5227" s="44"/>
      <c r="Y5227" s="44"/>
    </row>
    <row r="5228" spans="14:25" ht="15" customHeight="1" x14ac:dyDescent="0.25">
      <c r="N5228" s="44"/>
      <c r="O5228" s="44"/>
      <c r="P5228" s="44"/>
      <c r="Q5228" s="44"/>
      <c r="R5228" s="44"/>
      <c r="S5228" s="44"/>
      <c r="T5228" s="44"/>
      <c r="U5228" s="44"/>
      <c r="V5228" s="44"/>
      <c r="W5228" s="44"/>
      <c r="X5228" s="44"/>
      <c r="Y5228" s="44"/>
    </row>
    <row r="5229" spans="14:25" ht="15" customHeight="1" x14ac:dyDescent="0.25">
      <c r="N5229" s="44"/>
      <c r="O5229" s="44"/>
      <c r="P5229" s="44"/>
      <c r="Q5229" s="44"/>
      <c r="R5229" s="44"/>
      <c r="S5229" s="44"/>
      <c r="T5229" s="44"/>
      <c r="U5229" s="44"/>
      <c r="V5229" s="44"/>
      <c r="W5229" s="44"/>
      <c r="X5229" s="44"/>
      <c r="Y5229" s="44"/>
    </row>
    <row r="5230" spans="14:25" ht="15" customHeight="1" x14ac:dyDescent="0.25">
      <c r="N5230" s="44"/>
      <c r="O5230" s="44"/>
      <c r="P5230" s="44"/>
      <c r="Q5230" s="44"/>
      <c r="R5230" s="44"/>
      <c r="S5230" s="44"/>
      <c r="T5230" s="44"/>
      <c r="U5230" s="44"/>
      <c r="V5230" s="44"/>
      <c r="W5230" s="44"/>
      <c r="X5230" s="44"/>
      <c r="Y5230" s="44"/>
    </row>
    <row r="5231" spans="14:25" ht="15" customHeight="1" x14ac:dyDescent="0.25">
      <c r="N5231" s="44"/>
      <c r="O5231" s="44"/>
      <c r="P5231" s="44"/>
      <c r="Q5231" s="44"/>
      <c r="R5231" s="44"/>
      <c r="S5231" s="44"/>
      <c r="T5231" s="44"/>
      <c r="U5231" s="44"/>
      <c r="V5231" s="44"/>
      <c r="W5231" s="44"/>
      <c r="X5231" s="44"/>
      <c r="Y5231" s="44"/>
    </row>
    <row r="5232" spans="14:25" ht="15" customHeight="1" x14ac:dyDescent="0.25">
      <c r="N5232" s="44"/>
      <c r="O5232" s="44"/>
      <c r="P5232" s="44"/>
      <c r="Q5232" s="44"/>
      <c r="R5232" s="44"/>
      <c r="S5232" s="44"/>
      <c r="T5232" s="44"/>
      <c r="U5232" s="44"/>
      <c r="V5232" s="44"/>
      <c r="W5232" s="44"/>
      <c r="X5232" s="44"/>
      <c r="Y5232" s="44"/>
    </row>
    <row r="5233" spans="14:25" ht="15" customHeight="1" x14ac:dyDescent="0.25">
      <c r="N5233" s="44"/>
      <c r="O5233" s="44"/>
      <c r="P5233" s="44"/>
      <c r="Q5233" s="44"/>
      <c r="R5233" s="44"/>
      <c r="S5233" s="44"/>
      <c r="T5233" s="44"/>
      <c r="U5233" s="44"/>
      <c r="V5233" s="44"/>
      <c r="W5233" s="44"/>
      <c r="X5233" s="44"/>
      <c r="Y5233" s="44"/>
    </row>
    <row r="5234" spans="14:25" ht="15" customHeight="1" x14ac:dyDescent="0.25">
      <c r="N5234" s="44"/>
      <c r="O5234" s="44"/>
      <c r="P5234" s="44"/>
      <c r="Q5234" s="44"/>
      <c r="R5234" s="44"/>
      <c r="S5234" s="44"/>
      <c r="T5234" s="44"/>
      <c r="U5234" s="44"/>
      <c r="V5234" s="44"/>
      <c r="W5234" s="44"/>
      <c r="X5234" s="44"/>
      <c r="Y5234" s="44"/>
    </row>
    <row r="5235" spans="14:25" ht="15" customHeight="1" x14ac:dyDescent="0.25">
      <c r="N5235" s="44"/>
      <c r="O5235" s="44"/>
      <c r="P5235" s="44"/>
      <c r="Q5235" s="44"/>
      <c r="R5235" s="44"/>
      <c r="S5235" s="44"/>
      <c r="T5235" s="44"/>
      <c r="U5235" s="44"/>
      <c r="V5235" s="44"/>
      <c r="W5235" s="44"/>
      <c r="X5235" s="44"/>
      <c r="Y5235" s="44"/>
    </row>
    <row r="5236" spans="14:25" ht="15" customHeight="1" x14ac:dyDescent="0.25">
      <c r="N5236" s="44"/>
      <c r="O5236" s="44"/>
      <c r="P5236" s="44"/>
      <c r="Q5236" s="44"/>
      <c r="R5236" s="44"/>
      <c r="S5236" s="44"/>
      <c r="T5236" s="44"/>
      <c r="U5236" s="44"/>
      <c r="V5236" s="44"/>
      <c r="W5236" s="44"/>
      <c r="X5236" s="44"/>
      <c r="Y5236" s="44"/>
    </row>
    <row r="5237" spans="14:25" ht="15" customHeight="1" x14ac:dyDescent="0.25">
      <c r="N5237" s="44"/>
      <c r="O5237" s="44"/>
      <c r="P5237" s="44"/>
      <c r="Q5237" s="44"/>
      <c r="R5237" s="44"/>
      <c r="S5237" s="44"/>
      <c r="T5237" s="44"/>
      <c r="U5237" s="44"/>
      <c r="V5237" s="44"/>
      <c r="W5237" s="44"/>
      <c r="X5237" s="44"/>
      <c r="Y5237" s="44"/>
    </row>
    <row r="5238" spans="14:25" ht="15" customHeight="1" x14ac:dyDescent="0.25">
      <c r="N5238" s="44"/>
      <c r="O5238" s="44"/>
      <c r="P5238" s="44"/>
      <c r="Q5238" s="44"/>
      <c r="R5238" s="44"/>
      <c r="S5238" s="44"/>
      <c r="T5238" s="44"/>
      <c r="U5238" s="44"/>
      <c r="V5238" s="44"/>
      <c r="W5238" s="44"/>
      <c r="X5238" s="44"/>
      <c r="Y5238" s="44"/>
    </row>
    <row r="5239" spans="14:25" ht="15" customHeight="1" x14ac:dyDescent="0.25">
      <c r="N5239" s="44"/>
      <c r="O5239" s="44"/>
      <c r="P5239" s="44"/>
      <c r="Q5239" s="44"/>
      <c r="R5239" s="44"/>
      <c r="S5239" s="44"/>
      <c r="T5239" s="44"/>
      <c r="U5239" s="44"/>
      <c r="V5239" s="44"/>
      <c r="W5239" s="44"/>
      <c r="X5239" s="44"/>
      <c r="Y5239" s="44"/>
    </row>
    <row r="5240" spans="14:25" ht="15" customHeight="1" x14ac:dyDescent="0.25">
      <c r="N5240" s="44"/>
      <c r="O5240" s="44"/>
      <c r="P5240" s="44"/>
      <c r="Q5240" s="44"/>
      <c r="R5240" s="44"/>
      <c r="S5240" s="44"/>
      <c r="T5240" s="44"/>
      <c r="U5240" s="44"/>
      <c r="V5240" s="44"/>
      <c r="W5240" s="44"/>
      <c r="X5240" s="44"/>
      <c r="Y5240" s="44"/>
    </row>
    <row r="5241" spans="14:25" ht="15" customHeight="1" x14ac:dyDescent="0.25">
      <c r="N5241" s="44"/>
      <c r="O5241" s="44"/>
      <c r="P5241" s="44"/>
      <c r="Q5241" s="44"/>
      <c r="R5241" s="44"/>
      <c r="S5241" s="44"/>
      <c r="T5241" s="44"/>
      <c r="U5241" s="44"/>
      <c r="V5241" s="44"/>
      <c r="W5241" s="44"/>
      <c r="X5241" s="44"/>
      <c r="Y5241" s="44"/>
    </row>
    <row r="5242" spans="14:25" ht="15" customHeight="1" x14ac:dyDescent="0.25">
      <c r="N5242" s="44"/>
      <c r="O5242" s="44"/>
      <c r="P5242" s="44"/>
      <c r="Q5242" s="44"/>
      <c r="R5242" s="44"/>
      <c r="S5242" s="44"/>
      <c r="T5242" s="44"/>
      <c r="U5242" s="44"/>
      <c r="V5242" s="44"/>
      <c r="W5242" s="44"/>
      <c r="X5242" s="44"/>
      <c r="Y5242" s="44"/>
    </row>
    <row r="5243" spans="14:25" ht="15" customHeight="1" x14ac:dyDescent="0.25">
      <c r="N5243" s="44"/>
      <c r="O5243" s="44"/>
      <c r="P5243" s="44"/>
      <c r="Q5243" s="44"/>
      <c r="R5243" s="44"/>
      <c r="S5243" s="44"/>
      <c r="T5243" s="44"/>
      <c r="U5243" s="44"/>
      <c r="V5243" s="44"/>
      <c r="W5243" s="44"/>
      <c r="X5243" s="44"/>
      <c r="Y5243" s="44"/>
    </row>
    <row r="5244" spans="14:25" ht="15" customHeight="1" x14ac:dyDescent="0.25">
      <c r="N5244" s="44"/>
      <c r="O5244" s="44"/>
      <c r="P5244" s="44"/>
      <c r="Q5244" s="44"/>
      <c r="R5244" s="44"/>
      <c r="S5244" s="44"/>
      <c r="T5244" s="44"/>
      <c r="U5244" s="44"/>
      <c r="V5244" s="44"/>
      <c r="W5244" s="44"/>
      <c r="X5244" s="44"/>
      <c r="Y5244" s="44"/>
    </row>
    <row r="5245" spans="14:25" ht="15" customHeight="1" x14ac:dyDescent="0.25">
      <c r="N5245" s="44"/>
      <c r="O5245" s="44"/>
      <c r="P5245" s="44"/>
      <c r="Q5245" s="44"/>
      <c r="R5245" s="44"/>
      <c r="S5245" s="44"/>
      <c r="T5245" s="44"/>
      <c r="U5245" s="44"/>
      <c r="V5245" s="44"/>
      <c r="W5245" s="44"/>
      <c r="X5245" s="44"/>
      <c r="Y5245" s="44"/>
    </row>
    <row r="5246" spans="14:25" ht="15" customHeight="1" x14ac:dyDescent="0.25">
      <c r="N5246" s="44"/>
      <c r="O5246" s="44"/>
      <c r="P5246" s="44"/>
      <c r="Q5246" s="44"/>
      <c r="R5246" s="44"/>
      <c r="S5246" s="44"/>
      <c r="T5246" s="44"/>
      <c r="U5246" s="44"/>
      <c r="V5246" s="44"/>
      <c r="W5246" s="44"/>
      <c r="X5246" s="44"/>
      <c r="Y5246" s="44"/>
    </row>
    <row r="5247" spans="14:25" ht="15" customHeight="1" x14ac:dyDescent="0.25">
      <c r="N5247" s="44"/>
      <c r="O5247" s="44"/>
      <c r="P5247" s="44"/>
      <c r="Q5247" s="44"/>
      <c r="R5247" s="44"/>
      <c r="S5247" s="44"/>
      <c r="T5247" s="44"/>
      <c r="U5247" s="44"/>
      <c r="V5247" s="44"/>
      <c r="W5247" s="44"/>
      <c r="X5247" s="44"/>
      <c r="Y5247" s="44"/>
    </row>
    <row r="5248" spans="14:25" ht="15" customHeight="1" x14ac:dyDescent="0.25">
      <c r="N5248" s="44"/>
      <c r="O5248" s="44"/>
      <c r="P5248" s="44"/>
      <c r="Q5248" s="44"/>
      <c r="R5248" s="44"/>
      <c r="S5248" s="44"/>
      <c r="T5248" s="44"/>
      <c r="U5248" s="44"/>
      <c r="V5248" s="44"/>
      <c r="W5248" s="44"/>
      <c r="X5248" s="44"/>
      <c r="Y5248" s="44"/>
    </row>
    <row r="5249" spans="14:25" ht="15" customHeight="1" x14ac:dyDescent="0.25">
      <c r="N5249" s="44"/>
      <c r="O5249" s="44"/>
      <c r="P5249" s="44"/>
      <c r="Q5249" s="44"/>
      <c r="R5249" s="44"/>
      <c r="S5249" s="44"/>
      <c r="T5249" s="44"/>
      <c r="U5249" s="44"/>
      <c r="V5249" s="44"/>
      <c r="W5249" s="44"/>
      <c r="X5249" s="44"/>
      <c r="Y5249" s="44"/>
    </row>
    <row r="5250" spans="14:25" ht="15" customHeight="1" x14ac:dyDescent="0.25">
      <c r="N5250" s="44"/>
      <c r="O5250" s="44"/>
      <c r="P5250" s="44"/>
      <c r="Q5250" s="44"/>
      <c r="R5250" s="44"/>
      <c r="S5250" s="44"/>
      <c r="T5250" s="44"/>
      <c r="U5250" s="44"/>
      <c r="V5250" s="44"/>
      <c r="W5250" s="44"/>
      <c r="X5250" s="44"/>
      <c r="Y5250" s="44"/>
    </row>
    <row r="5251" spans="14:25" ht="15" customHeight="1" x14ac:dyDescent="0.25">
      <c r="N5251" s="44"/>
      <c r="O5251" s="44"/>
      <c r="P5251" s="44"/>
      <c r="Q5251" s="44"/>
      <c r="R5251" s="44"/>
      <c r="S5251" s="44"/>
      <c r="T5251" s="44"/>
      <c r="U5251" s="44"/>
      <c r="V5251" s="44"/>
      <c r="W5251" s="44"/>
      <c r="X5251" s="44"/>
      <c r="Y5251" s="44"/>
    </row>
    <row r="5252" spans="14:25" ht="15" customHeight="1" x14ac:dyDescent="0.25">
      <c r="N5252" s="44"/>
      <c r="O5252" s="44"/>
      <c r="P5252" s="44"/>
      <c r="Q5252" s="44"/>
      <c r="R5252" s="44"/>
      <c r="S5252" s="44"/>
      <c r="T5252" s="44"/>
      <c r="U5252" s="44"/>
      <c r="V5252" s="44"/>
      <c r="W5252" s="44"/>
      <c r="X5252" s="44"/>
      <c r="Y5252" s="44"/>
    </row>
    <row r="5253" spans="14:25" ht="15" customHeight="1" x14ac:dyDescent="0.25">
      <c r="N5253" s="44"/>
      <c r="O5253" s="44"/>
      <c r="P5253" s="44"/>
      <c r="Q5253" s="44"/>
      <c r="R5253" s="44"/>
      <c r="S5253" s="44"/>
      <c r="T5253" s="44"/>
      <c r="U5253" s="44"/>
      <c r="V5253" s="44"/>
      <c r="W5253" s="44"/>
      <c r="X5253" s="44"/>
      <c r="Y5253" s="44"/>
    </row>
    <row r="5254" spans="14:25" ht="15" customHeight="1" x14ac:dyDescent="0.25">
      <c r="N5254" s="44"/>
      <c r="O5254" s="44"/>
      <c r="P5254" s="44"/>
      <c r="Q5254" s="44"/>
      <c r="R5254" s="44"/>
      <c r="S5254" s="44"/>
      <c r="T5254" s="44"/>
      <c r="U5254" s="44"/>
      <c r="V5254" s="44"/>
      <c r="W5254" s="44"/>
      <c r="X5254" s="44"/>
      <c r="Y5254" s="44"/>
    </row>
    <row r="5255" spans="14:25" ht="15" customHeight="1" x14ac:dyDescent="0.25">
      <c r="N5255" s="44"/>
      <c r="O5255" s="44"/>
      <c r="P5255" s="44"/>
      <c r="Q5255" s="44"/>
      <c r="R5255" s="44"/>
      <c r="S5255" s="44"/>
      <c r="T5255" s="44"/>
      <c r="U5255" s="44"/>
      <c r="V5255" s="44"/>
      <c r="W5255" s="44"/>
      <c r="X5255" s="44"/>
      <c r="Y5255" s="44"/>
    </row>
    <row r="5256" spans="14:25" ht="15" customHeight="1" x14ac:dyDescent="0.25">
      <c r="N5256" s="44"/>
      <c r="O5256" s="44"/>
      <c r="P5256" s="44"/>
      <c r="Q5256" s="44"/>
      <c r="R5256" s="44"/>
      <c r="S5256" s="44"/>
      <c r="T5256" s="44"/>
      <c r="U5256" s="44"/>
      <c r="V5256" s="44"/>
      <c r="W5256" s="44"/>
      <c r="X5256" s="44"/>
      <c r="Y5256" s="44"/>
    </row>
    <row r="5257" spans="14:25" ht="15" customHeight="1" x14ac:dyDescent="0.25">
      <c r="N5257" s="44"/>
      <c r="O5257" s="44"/>
      <c r="P5257" s="44"/>
      <c r="Q5257" s="44"/>
      <c r="R5257" s="44"/>
      <c r="S5257" s="44"/>
      <c r="T5257" s="44"/>
      <c r="U5257" s="44"/>
      <c r="V5257" s="44"/>
      <c r="W5257" s="44"/>
      <c r="X5257" s="44"/>
      <c r="Y5257" s="44"/>
    </row>
    <row r="5258" spans="14:25" ht="15" customHeight="1" x14ac:dyDescent="0.25">
      <c r="N5258" s="44"/>
      <c r="O5258" s="44"/>
      <c r="P5258" s="44"/>
      <c r="Q5258" s="44"/>
      <c r="R5258" s="44"/>
      <c r="S5258" s="44"/>
      <c r="T5258" s="44"/>
      <c r="U5258" s="44"/>
      <c r="V5258" s="44"/>
      <c r="W5258" s="44"/>
      <c r="X5258" s="44"/>
      <c r="Y5258" s="44"/>
    </row>
    <row r="5259" spans="14:25" ht="15" customHeight="1" x14ac:dyDescent="0.25">
      <c r="N5259" s="44"/>
      <c r="O5259" s="44"/>
      <c r="P5259" s="44"/>
      <c r="Q5259" s="44"/>
      <c r="R5259" s="44"/>
      <c r="S5259" s="44"/>
      <c r="T5259" s="44"/>
      <c r="U5259" s="44"/>
      <c r="V5259" s="44"/>
      <c r="W5259" s="44"/>
      <c r="X5259" s="44"/>
      <c r="Y5259" s="44"/>
    </row>
    <row r="5260" spans="14:25" ht="15" customHeight="1" x14ac:dyDescent="0.25">
      <c r="N5260" s="44"/>
      <c r="O5260" s="44"/>
      <c r="P5260" s="44"/>
      <c r="Q5260" s="44"/>
      <c r="R5260" s="44"/>
      <c r="S5260" s="44"/>
      <c r="T5260" s="44"/>
      <c r="U5260" s="44"/>
      <c r="V5260" s="44"/>
      <c r="W5260" s="44"/>
      <c r="X5260" s="44"/>
      <c r="Y5260" s="44"/>
    </row>
    <row r="5261" spans="14:25" ht="15" customHeight="1" x14ac:dyDescent="0.25">
      <c r="N5261" s="44"/>
      <c r="O5261" s="44"/>
      <c r="P5261" s="44"/>
      <c r="Q5261" s="44"/>
      <c r="R5261" s="44"/>
      <c r="S5261" s="44"/>
      <c r="T5261" s="44"/>
      <c r="U5261" s="44"/>
      <c r="V5261" s="44"/>
      <c r="W5261" s="44"/>
      <c r="X5261" s="44"/>
      <c r="Y5261" s="44"/>
    </row>
    <row r="5262" spans="14:25" ht="15" customHeight="1" x14ac:dyDescent="0.25">
      <c r="N5262" s="44"/>
      <c r="O5262" s="44"/>
      <c r="P5262" s="44"/>
      <c r="Q5262" s="44"/>
      <c r="R5262" s="44"/>
      <c r="S5262" s="44"/>
      <c r="T5262" s="44"/>
      <c r="U5262" s="44"/>
      <c r="V5262" s="44"/>
      <c r="W5262" s="44"/>
      <c r="X5262" s="44"/>
      <c r="Y5262" s="44"/>
    </row>
    <row r="5263" spans="14:25" ht="15" customHeight="1" x14ac:dyDescent="0.25">
      <c r="N5263" s="44"/>
      <c r="O5263" s="44"/>
      <c r="P5263" s="44"/>
      <c r="Q5263" s="44"/>
      <c r="R5263" s="44"/>
      <c r="S5263" s="44"/>
      <c r="T5263" s="44"/>
      <c r="U5263" s="44"/>
      <c r="V5263" s="44"/>
      <c r="W5263" s="44"/>
      <c r="X5263" s="44"/>
      <c r="Y5263" s="44"/>
    </row>
    <row r="5264" spans="14:25" ht="15" customHeight="1" x14ac:dyDescent="0.25">
      <c r="N5264" s="44"/>
      <c r="O5264" s="44"/>
      <c r="P5264" s="44"/>
      <c r="Q5264" s="44"/>
      <c r="R5264" s="44"/>
      <c r="S5264" s="44"/>
      <c r="T5264" s="44"/>
      <c r="U5264" s="44"/>
      <c r="V5264" s="44"/>
      <c r="W5264" s="44"/>
      <c r="X5264" s="44"/>
      <c r="Y5264" s="44"/>
    </row>
    <row r="5265" spans="14:25" ht="15" customHeight="1" x14ac:dyDescent="0.25">
      <c r="N5265" s="44"/>
      <c r="O5265" s="44"/>
      <c r="P5265" s="44"/>
      <c r="Q5265" s="44"/>
      <c r="R5265" s="44"/>
      <c r="S5265" s="44"/>
      <c r="T5265" s="44"/>
      <c r="U5265" s="44"/>
      <c r="V5265" s="44"/>
      <c r="W5265" s="44"/>
      <c r="X5265" s="44"/>
      <c r="Y5265" s="44"/>
    </row>
    <row r="5266" spans="14:25" ht="15" customHeight="1" x14ac:dyDescent="0.25">
      <c r="N5266" s="44"/>
      <c r="O5266" s="44"/>
      <c r="P5266" s="44"/>
      <c r="Q5266" s="44"/>
      <c r="R5266" s="44"/>
      <c r="S5266" s="44"/>
      <c r="T5266" s="44"/>
      <c r="U5266" s="44"/>
      <c r="V5266" s="44"/>
      <c r="W5266" s="44"/>
      <c r="X5266" s="44"/>
      <c r="Y5266" s="44"/>
    </row>
    <row r="5267" spans="14:25" ht="15" customHeight="1" x14ac:dyDescent="0.25">
      <c r="N5267" s="44"/>
      <c r="O5267" s="44"/>
      <c r="P5267" s="44"/>
      <c r="Q5267" s="44"/>
      <c r="R5267" s="44"/>
      <c r="S5267" s="44"/>
      <c r="T5267" s="44"/>
      <c r="U5267" s="44"/>
      <c r="V5267" s="44"/>
      <c r="W5267" s="44"/>
      <c r="X5267" s="44"/>
      <c r="Y5267" s="44"/>
    </row>
    <row r="5268" spans="14:25" ht="15" customHeight="1" x14ac:dyDescent="0.25">
      <c r="N5268" s="44"/>
      <c r="O5268" s="44"/>
      <c r="P5268" s="44"/>
      <c r="Q5268" s="44"/>
      <c r="R5268" s="44"/>
      <c r="S5268" s="44"/>
      <c r="T5268" s="44"/>
      <c r="U5268" s="44"/>
      <c r="V5268" s="44"/>
      <c r="W5268" s="44"/>
      <c r="X5268" s="44"/>
      <c r="Y5268" s="44"/>
    </row>
    <row r="5269" spans="14:25" ht="15" customHeight="1" x14ac:dyDescent="0.25">
      <c r="N5269" s="44"/>
      <c r="O5269" s="44"/>
      <c r="P5269" s="44"/>
      <c r="Q5269" s="44"/>
      <c r="R5269" s="44"/>
      <c r="S5269" s="44"/>
      <c r="T5269" s="44"/>
      <c r="U5269" s="44"/>
      <c r="V5269" s="44"/>
      <c r="W5269" s="44"/>
      <c r="X5269" s="44"/>
      <c r="Y5269" s="44"/>
    </row>
    <row r="5270" spans="14:25" ht="15" customHeight="1" x14ac:dyDescent="0.25">
      <c r="N5270" s="44"/>
      <c r="O5270" s="44"/>
      <c r="P5270" s="44"/>
      <c r="Q5270" s="44"/>
      <c r="R5270" s="44"/>
      <c r="S5270" s="44"/>
      <c r="T5270" s="44"/>
      <c r="U5270" s="44"/>
      <c r="V5270" s="44"/>
      <c r="W5270" s="44"/>
      <c r="X5270" s="44"/>
      <c r="Y5270" s="44"/>
    </row>
    <row r="5271" spans="14:25" ht="15" customHeight="1" x14ac:dyDescent="0.25">
      <c r="N5271" s="44"/>
      <c r="O5271" s="44"/>
      <c r="P5271" s="44"/>
      <c r="Q5271" s="44"/>
      <c r="R5271" s="44"/>
      <c r="S5271" s="44"/>
      <c r="T5271" s="44"/>
      <c r="U5271" s="44"/>
      <c r="V5271" s="44"/>
      <c r="W5271" s="44"/>
      <c r="X5271" s="44"/>
      <c r="Y5271" s="44"/>
    </row>
    <row r="5272" spans="14:25" ht="15" customHeight="1" x14ac:dyDescent="0.25">
      <c r="N5272" s="44"/>
      <c r="O5272" s="44"/>
      <c r="P5272" s="44"/>
      <c r="Q5272" s="44"/>
      <c r="R5272" s="44"/>
      <c r="S5272" s="44"/>
      <c r="T5272" s="44"/>
      <c r="U5272" s="44"/>
      <c r="V5272" s="44"/>
      <c r="W5272" s="44"/>
      <c r="X5272" s="44"/>
      <c r="Y5272" s="44"/>
    </row>
    <row r="5273" spans="14:25" ht="15" customHeight="1" x14ac:dyDescent="0.25">
      <c r="N5273" s="44"/>
      <c r="O5273" s="44"/>
      <c r="P5273" s="44"/>
      <c r="Q5273" s="44"/>
      <c r="R5273" s="44"/>
      <c r="S5273" s="44"/>
      <c r="T5273" s="44"/>
      <c r="U5273" s="44"/>
      <c r="V5273" s="44"/>
      <c r="W5273" s="44"/>
      <c r="X5273" s="44"/>
      <c r="Y5273" s="44"/>
    </row>
    <row r="5274" spans="14:25" ht="15" customHeight="1" x14ac:dyDescent="0.25">
      <c r="N5274" s="44"/>
      <c r="O5274" s="44"/>
      <c r="P5274" s="44"/>
      <c r="Q5274" s="44"/>
      <c r="R5274" s="44"/>
      <c r="S5274" s="44"/>
      <c r="T5274" s="44"/>
      <c r="U5274" s="44"/>
      <c r="V5274" s="44"/>
      <c r="W5274" s="44"/>
      <c r="X5274" s="44"/>
      <c r="Y5274" s="44"/>
    </row>
    <row r="5275" spans="14:25" ht="15" customHeight="1" x14ac:dyDescent="0.25">
      <c r="N5275" s="44"/>
      <c r="O5275" s="44"/>
      <c r="P5275" s="44"/>
      <c r="Q5275" s="44"/>
      <c r="R5275" s="44"/>
      <c r="S5275" s="44"/>
      <c r="T5275" s="44"/>
      <c r="U5275" s="44"/>
      <c r="V5275" s="44"/>
      <c r="W5275" s="44"/>
      <c r="X5275" s="44"/>
      <c r="Y5275" s="44"/>
    </row>
    <row r="5276" spans="14:25" ht="15" customHeight="1" x14ac:dyDescent="0.25">
      <c r="N5276" s="44"/>
      <c r="O5276" s="44"/>
      <c r="P5276" s="44"/>
      <c r="Q5276" s="44"/>
      <c r="R5276" s="44"/>
      <c r="S5276" s="44"/>
      <c r="T5276" s="44"/>
      <c r="U5276" s="44"/>
      <c r="V5276" s="44"/>
      <c r="W5276" s="44"/>
      <c r="X5276" s="44"/>
      <c r="Y5276" s="44"/>
    </row>
    <row r="5277" spans="14:25" ht="15" customHeight="1" x14ac:dyDescent="0.25">
      <c r="N5277" s="44"/>
      <c r="O5277" s="44"/>
      <c r="P5277" s="44"/>
      <c r="Q5277" s="44"/>
      <c r="R5277" s="44"/>
      <c r="S5277" s="44"/>
      <c r="T5277" s="44"/>
      <c r="U5277" s="44"/>
      <c r="V5277" s="44"/>
      <c r="W5277" s="44"/>
      <c r="X5277" s="44"/>
      <c r="Y5277" s="44"/>
    </row>
    <row r="5278" spans="14:25" ht="15" customHeight="1" x14ac:dyDescent="0.25">
      <c r="N5278" s="44"/>
      <c r="O5278" s="44"/>
      <c r="P5278" s="44"/>
      <c r="Q5278" s="44"/>
      <c r="R5278" s="44"/>
      <c r="S5278" s="44"/>
      <c r="T5278" s="44"/>
      <c r="U5278" s="44"/>
      <c r="V5278" s="44"/>
      <c r="W5278" s="44"/>
      <c r="X5278" s="44"/>
      <c r="Y5278" s="44"/>
    </row>
    <row r="5279" spans="14:25" ht="15" customHeight="1" x14ac:dyDescent="0.25">
      <c r="N5279" s="44"/>
      <c r="O5279" s="44"/>
      <c r="P5279" s="44"/>
      <c r="Q5279" s="44"/>
      <c r="R5279" s="44"/>
      <c r="S5279" s="44"/>
      <c r="T5279" s="44"/>
      <c r="U5279" s="44"/>
      <c r="V5279" s="44"/>
      <c r="W5279" s="44"/>
      <c r="X5279" s="44"/>
      <c r="Y5279" s="44"/>
    </row>
    <row r="5280" spans="14:25" ht="15" customHeight="1" x14ac:dyDescent="0.25">
      <c r="N5280" s="44"/>
      <c r="O5280" s="44"/>
      <c r="P5280" s="44"/>
      <c r="Q5280" s="44"/>
      <c r="R5280" s="44"/>
      <c r="S5280" s="44"/>
      <c r="T5280" s="44"/>
      <c r="U5280" s="44"/>
      <c r="V5280" s="44"/>
      <c r="W5280" s="44"/>
      <c r="X5280" s="44"/>
      <c r="Y5280" s="44"/>
    </row>
    <row r="5281" spans="14:25" ht="15" customHeight="1" x14ac:dyDescent="0.25">
      <c r="N5281" s="44"/>
      <c r="O5281" s="44"/>
      <c r="P5281" s="44"/>
      <c r="Q5281" s="44"/>
      <c r="R5281" s="44"/>
      <c r="S5281" s="44"/>
      <c r="T5281" s="44"/>
      <c r="U5281" s="44"/>
      <c r="V5281" s="44"/>
      <c r="W5281" s="44"/>
      <c r="X5281" s="44"/>
      <c r="Y5281" s="44"/>
    </row>
    <row r="5282" spans="14:25" ht="15" customHeight="1" x14ac:dyDescent="0.25">
      <c r="N5282" s="44"/>
      <c r="O5282" s="44"/>
      <c r="P5282" s="44"/>
      <c r="Q5282" s="44"/>
      <c r="R5282" s="44"/>
      <c r="S5282" s="44"/>
      <c r="T5282" s="44"/>
      <c r="U5282" s="44"/>
      <c r="V5282" s="44"/>
      <c r="W5282" s="44"/>
      <c r="X5282" s="44"/>
      <c r="Y5282" s="44"/>
    </row>
    <row r="5283" spans="14:25" ht="15" customHeight="1" x14ac:dyDescent="0.25">
      <c r="N5283" s="44"/>
      <c r="O5283" s="44"/>
      <c r="P5283" s="44"/>
      <c r="Q5283" s="44"/>
      <c r="R5283" s="44"/>
      <c r="S5283" s="44"/>
      <c r="T5283" s="44"/>
      <c r="U5283" s="44"/>
      <c r="V5283" s="44"/>
      <c r="W5283" s="44"/>
      <c r="X5283" s="44"/>
      <c r="Y5283" s="44"/>
    </row>
    <row r="5284" spans="14:25" ht="15" customHeight="1" x14ac:dyDescent="0.25">
      <c r="N5284" s="44"/>
      <c r="O5284" s="44"/>
      <c r="P5284" s="44"/>
      <c r="Q5284" s="44"/>
      <c r="R5284" s="44"/>
      <c r="S5284" s="44"/>
      <c r="T5284" s="44"/>
      <c r="U5284" s="44"/>
      <c r="V5284" s="44"/>
      <c r="W5284" s="44"/>
      <c r="X5284" s="44"/>
      <c r="Y5284" s="44"/>
    </row>
    <row r="5285" spans="14:25" ht="15" customHeight="1" x14ac:dyDescent="0.25">
      <c r="N5285" s="44"/>
      <c r="O5285" s="44"/>
      <c r="P5285" s="44"/>
      <c r="Q5285" s="44"/>
      <c r="R5285" s="44"/>
      <c r="S5285" s="44"/>
      <c r="T5285" s="44"/>
      <c r="U5285" s="44"/>
      <c r="V5285" s="44"/>
      <c r="W5285" s="44"/>
      <c r="X5285" s="44"/>
      <c r="Y5285" s="44"/>
    </row>
    <row r="5286" spans="14:25" ht="15" customHeight="1" x14ac:dyDescent="0.25">
      <c r="N5286" s="44"/>
      <c r="O5286" s="44"/>
      <c r="P5286" s="44"/>
      <c r="Q5286" s="44"/>
      <c r="R5286" s="44"/>
      <c r="S5286" s="44"/>
      <c r="T5286" s="44"/>
      <c r="U5286" s="44"/>
      <c r="V5286" s="44"/>
      <c r="W5286" s="44"/>
      <c r="X5286" s="44"/>
      <c r="Y5286" s="44"/>
    </row>
    <row r="5287" spans="14:25" ht="15" customHeight="1" x14ac:dyDescent="0.25">
      <c r="N5287" s="44"/>
      <c r="O5287" s="44"/>
      <c r="P5287" s="44"/>
      <c r="Q5287" s="44"/>
      <c r="R5287" s="44"/>
      <c r="S5287" s="44"/>
      <c r="T5287" s="44"/>
      <c r="U5287" s="44"/>
      <c r="V5287" s="44"/>
      <c r="W5287" s="44"/>
      <c r="X5287" s="44"/>
      <c r="Y5287" s="44"/>
    </row>
    <row r="5288" spans="14:25" ht="15" customHeight="1" x14ac:dyDescent="0.25">
      <c r="N5288" s="44"/>
      <c r="O5288" s="44"/>
      <c r="P5288" s="44"/>
      <c r="Q5288" s="44"/>
      <c r="R5288" s="44"/>
      <c r="S5288" s="44"/>
      <c r="T5288" s="44"/>
      <c r="U5288" s="44"/>
      <c r="V5288" s="44"/>
      <c r="W5288" s="44"/>
      <c r="X5288" s="44"/>
      <c r="Y5288" s="44"/>
    </row>
    <row r="5289" spans="14:25" ht="15" customHeight="1" x14ac:dyDescent="0.25">
      <c r="N5289" s="44"/>
      <c r="O5289" s="44"/>
      <c r="P5289" s="44"/>
      <c r="Q5289" s="44"/>
      <c r="R5289" s="44"/>
      <c r="S5289" s="44"/>
      <c r="T5289" s="44"/>
      <c r="U5289" s="44"/>
      <c r="V5289" s="44"/>
      <c r="W5289" s="44"/>
      <c r="X5289" s="44"/>
      <c r="Y5289" s="44"/>
    </row>
    <row r="5290" spans="14:25" ht="15" customHeight="1" x14ac:dyDescent="0.25">
      <c r="N5290" s="44"/>
      <c r="O5290" s="44"/>
      <c r="P5290" s="44"/>
      <c r="Q5290" s="44"/>
      <c r="R5290" s="44"/>
      <c r="S5290" s="44"/>
      <c r="T5290" s="44"/>
      <c r="U5290" s="44"/>
      <c r="V5290" s="44"/>
      <c r="W5290" s="44"/>
      <c r="X5290" s="44"/>
      <c r="Y5290" s="44"/>
    </row>
    <row r="5291" spans="14:25" ht="15" customHeight="1" x14ac:dyDescent="0.25">
      <c r="N5291" s="44"/>
      <c r="O5291" s="44"/>
      <c r="P5291" s="44"/>
      <c r="Q5291" s="44"/>
      <c r="R5291" s="44"/>
      <c r="S5291" s="44"/>
      <c r="T5291" s="44"/>
      <c r="U5291" s="44"/>
      <c r="V5291" s="44"/>
      <c r="W5291" s="44"/>
      <c r="X5291" s="44"/>
      <c r="Y5291" s="44"/>
    </row>
    <row r="5292" spans="14:25" ht="15" customHeight="1" x14ac:dyDescent="0.25">
      <c r="N5292" s="44"/>
      <c r="O5292" s="44"/>
      <c r="P5292" s="44"/>
      <c r="Q5292" s="44"/>
      <c r="R5292" s="44"/>
      <c r="S5292" s="44"/>
      <c r="T5292" s="44"/>
      <c r="U5292" s="44"/>
      <c r="V5292" s="44"/>
      <c r="W5292" s="44"/>
      <c r="X5292" s="44"/>
      <c r="Y5292" s="44"/>
    </row>
    <row r="5293" spans="14:25" ht="15" customHeight="1" x14ac:dyDescent="0.25">
      <c r="N5293" s="44"/>
      <c r="O5293" s="44"/>
      <c r="P5293" s="44"/>
      <c r="Q5293" s="44"/>
      <c r="R5293" s="44"/>
      <c r="S5293" s="44"/>
      <c r="T5293" s="44"/>
      <c r="U5293" s="44"/>
      <c r="V5293" s="44"/>
      <c r="W5293" s="44"/>
      <c r="X5293" s="44"/>
      <c r="Y5293" s="44"/>
    </row>
    <row r="5294" spans="14:25" ht="15" customHeight="1" x14ac:dyDescent="0.25">
      <c r="N5294" s="44"/>
      <c r="O5294" s="44"/>
      <c r="P5294" s="44"/>
      <c r="Q5294" s="44"/>
      <c r="R5294" s="44"/>
      <c r="S5294" s="44"/>
      <c r="T5294" s="44"/>
      <c r="U5294" s="44"/>
      <c r="V5294" s="44"/>
      <c r="W5294" s="44"/>
      <c r="X5294" s="44"/>
      <c r="Y5294" s="44"/>
    </row>
    <row r="5295" spans="14:25" ht="15" customHeight="1" x14ac:dyDescent="0.25">
      <c r="N5295" s="44"/>
      <c r="O5295" s="44"/>
      <c r="P5295" s="44"/>
      <c r="Q5295" s="44"/>
      <c r="R5295" s="44"/>
      <c r="S5295" s="44"/>
      <c r="T5295" s="44"/>
      <c r="U5295" s="44"/>
      <c r="V5295" s="44"/>
      <c r="W5295" s="44"/>
      <c r="X5295" s="44"/>
      <c r="Y5295" s="44"/>
    </row>
    <row r="5296" spans="14:25" ht="15" customHeight="1" x14ac:dyDescent="0.25">
      <c r="N5296" s="44"/>
      <c r="O5296" s="44"/>
      <c r="P5296" s="44"/>
      <c r="Q5296" s="44"/>
      <c r="R5296" s="44"/>
      <c r="S5296" s="44"/>
      <c r="T5296" s="44"/>
      <c r="U5296" s="44"/>
      <c r="V5296" s="44"/>
      <c r="W5296" s="44"/>
      <c r="X5296" s="44"/>
      <c r="Y5296" s="44"/>
    </row>
    <row r="5297" spans="14:25" ht="15" customHeight="1" x14ac:dyDescent="0.25">
      <c r="N5297" s="44"/>
      <c r="O5297" s="44"/>
      <c r="P5297" s="44"/>
      <c r="Q5297" s="44"/>
      <c r="R5297" s="44"/>
      <c r="S5297" s="44"/>
      <c r="T5297" s="44"/>
      <c r="U5297" s="44"/>
      <c r="V5297" s="44"/>
      <c r="W5297" s="44"/>
      <c r="X5297" s="44"/>
      <c r="Y5297" s="44"/>
    </row>
    <row r="5298" spans="14:25" ht="15" customHeight="1" x14ac:dyDescent="0.25">
      <c r="N5298" s="44"/>
      <c r="O5298" s="44"/>
      <c r="P5298" s="44"/>
      <c r="Q5298" s="44"/>
      <c r="R5298" s="44"/>
      <c r="S5298" s="44"/>
      <c r="T5298" s="44"/>
      <c r="U5298" s="44"/>
      <c r="V5298" s="44"/>
      <c r="W5298" s="44"/>
      <c r="X5298" s="44"/>
      <c r="Y5298" s="44"/>
    </row>
    <row r="5299" spans="14:25" ht="15" customHeight="1" x14ac:dyDescent="0.25">
      <c r="N5299" s="44"/>
      <c r="O5299" s="44"/>
      <c r="P5299" s="44"/>
      <c r="Q5299" s="44"/>
      <c r="R5299" s="44"/>
      <c r="S5299" s="44"/>
      <c r="T5299" s="44"/>
      <c r="U5299" s="44"/>
      <c r="V5299" s="44"/>
      <c r="W5299" s="44"/>
      <c r="X5299" s="44"/>
      <c r="Y5299" s="44"/>
    </row>
    <row r="5300" spans="14:25" ht="15" customHeight="1" x14ac:dyDescent="0.25">
      <c r="N5300" s="44"/>
      <c r="O5300" s="44"/>
      <c r="P5300" s="44"/>
      <c r="Q5300" s="44"/>
      <c r="R5300" s="44"/>
      <c r="S5300" s="44"/>
      <c r="T5300" s="44"/>
      <c r="U5300" s="44"/>
      <c r="V5300" s="44"/>
      <c r="W5300" s="44"/>
      <c r="X5300" s="44"/>
      <c r="Y5300" s="44"/>
    </row>
    <row r="5301" spans="14:25" ht="15" customHeight="1" x14ac:dyDescent="0.25">
      <c r="N5301" s="44"/>
      <c r="O5301" s="44"/>
      <c r="P5301" s="44"/>
      <c r="Q5301" s="44"/>
      <c r="R5301" s="44"/>
      <c r="S5301" s="44"/>
      <c r="T5301" s="44"/>
      <c r="U5301" s="44"/>
      <c r="V5301" s="44"/>
      <c r="W5301" s="44"/>
      <c r="X5301" s="44"/>
      <c r="Y5301" s="44"/>
    </row>
    <row r="5302" spans="14:25" ht="15" customHeight="1" x14ac:dyDescent="0.25">
      <c r="N5302" s="44"/>
      <c r="O5302" s="44"/>
      <c r="P5302" s="44"/>
      <c r="Q5302" s="44"/>
      <c r="R5302" s="44"/>
      <c r="S5302" s="44"/>
      <c r="T5302" s="44"/>
      <c r="U5302" s="44"/>
      <c r="V5302" s="44"/>
      <c r="W5302" s="44"/>
      <c r="X5302" s="44"/>
      <c r="Y5302" s="44"/>
    </row>
    <row r="5303" spans="14:25" ht="15" customHeight="1" x14ac:dyDescent="0.25">
      <c r="N5303" s="44"/>
      <c r="O5303" s="44"/>
      <c r="P5303" s="44"/>
      <c r="Q5303" s="44"/>
      <c r="R5303" s="44"/>
      <c r="S5303" s="44"/>
      <c r="T5303" s="44"/>
      <c r="U5303" s="44"/>
      <c r="V5303" s="44"/>
      <c r="W5303" s="44"/>
      <c r="X5303" s="44"/>
      <c r="Y5303" s="44"/>
    </row>
    <row r="5304" spans="14:25" ht="15" customHeight="1" x14ac:dyDescent="0.25">
      <c r="N5304" s="44"/>
      <c r="O5304" s="44"/>
      <c r="P5304" s="44"/>
      <c r="Q5304" s="44"/>
      <c r="R5304" s="44"/>
      <c r="S5304" s="44"/>
      <c r="T5304" s="44"/>
      <c r="U5304" s="44"/>
      <c r="V5304" s="44"/>
      <c r="W5304" s="44"/>
      <c r="X5304" s="44"/>
      <c r="Y5304" s="44"/>
    </row>
    <row r="5305" spans="14:25" ht="15" customHeight="1" x14ac:dyDescent="0.25">
      <c r="N5305" s="44"/>
      <c r="O5305" s="44"/>
      <c r="P5305" s="44"/>
      <c r="Q5305" s="44"/>
      <c r="R5305" s="44"/>
      <c r="S5305" s="44"/>
      <c r="T5305" s="44"/>
      <c r="U5305" s="44"/>
      <c r="V5305" s="44"/>
      <c r="W5305" s="44"/>
      <c r="X5305" s="44"/>
      <c r="Y5305" s="44"/>
    </row>
    <row r="5306" spans="14:25" ht="15" customHeight="1" x14ac:dyDescent="0.25">
      <c r="N5306" s="44"/>
      <c r="O5306" s="44"/>
      <c r="P5306" s="44"/>
      <c r="Q5306" s="44"/>
      <c r="R5306" s="44"/>
      <c r="S5306" s="44"/>
      <c r="T5306" s="44"/>
      <c r="U5306" s="44"/>
      <c r="V5306" s="44"/>
      <c r="W5306" s="44"/>
      <c r="X5306" s="44"/>
      <c r="Y5306" s="44"/>
    </row>
    <row r="5307" spans="14:25" ht="15" customHeight="1" x14ac:dyDescent="0.25">
      <c r="N5307" s="44"/>
      <c r="O5307" s="44"/>
      <c r="P5307" s="44"/>
      <c r="Q5307" s="44"/>
      <c r="R5307" s="44"/>
      <c r="S5307" s="44"/>
      <c r="T5307" s="44"/>
      <c r="U5307" s="44"/>
      <c r="V5307" s="44"/>
      <c r="W5307" s="44"/>
      <c r="X5307" s="44"/>
      <c r="Y5307" s="44"/>
    </row>
    <row r="5308" spans="14:25" ht="15" customHeight="1" x14ac:dyDescent="0.25">
      <c r="N5308" s="44"/>
      <c r="O5308" s="44"/>
      <c r="P5308" s="44"/>
      <c r="Q5308" s="44"/>
      <c r="R5308" s="44"/>
      <c r="S5308" s="44"/>
      <c r="T5308" s="44"/>
      <c r="U5308" s="44"/>
      <c r="V5308" s="44"/>
      <c r="W5308" s="44"/>
      <c r="X5308" s="44"/>
      <c r="Y5308" s="44"/>
    </row>
    <row r="5309" spans="14:25" ht="15" customHeight="1" x14ac:dyDescent="0.25">
      <c r="N5309" s="44"/>
      <c r="O5309" s="44"/>
      <c r="P5309" s="44"/>
      <c r="Q5309" s="44"/>
      <c r="R5309" s="44"/>
      <c r="S5309" s="44"/>
      <c r="T5309" s="44"/>
      <c r="U5309" s="44"/>
      <c r="V5309" s="44"/>
      <c r="W5309" s="44"/>
      <c r="X5309" s="44"/>
      <c r="Y5309" s="44"/>
    </row>
    <row r="5310" spans="14:25" ht="15" customHeight="1" x14ac:dyDescent="0.25">
      <c r="N5310" s="44"/>
      <c r="O5310" s="44"/>
      <c r="P5310" s="44"/>
      <c r="Q5310" s="44"/>
      <c r="R5310" s="44"/>
      <c r="S5310" s="44"/>
      <c r="T5310" s="44"/>
      <c r="U5310" s="44"/>
      <c r="V5310" s="44"/>
      <c r="W5310" s="44"/>
      <c r="X5310" s="44"/>
      <c r="Y5310" s="44"/>
    </row>
    <row r="5311" spans="14:25" ht="15" customHeight="1" x14ac:dyDescent="0.25">
      <c r="N5311" s="44"/>
      <c r="O5311" s="44"/>
      <c r="P5311" s="44"/>
      <c r="Q5311" s="44"/>
      <c r="R5311" s="44"/>
      <c r="S5311" s="44"/>
      <c r="T5311" s="44"/>
      <c r="U5311" s="44"/>
      <c r="V5311" s="44"/>
      <c r="W5311" s="44"/>
      <c r="X5311" s="44"/>
      <c r="Y5311" s="44"/>
    </row>
    <row r="5312" spans="14:25" ht="15" customHeight="1" x14ac:dyDescent="0.25">
      <c r="N5312" s="44"/>
      <c r="O5312" s="44"/>
      <c r="P5312" s="44"/>
      <c r="Q5312" s="44"/>
      <c r="R5312" s="44"/>
      <c r="S5312" s="44"/>
      <c r="T5312" s="44"/>
      <c r="U5312" s="44"/>
      <c r="V5312" s="44"/>
      <c r="W5312" s="44"/>
      <c r="X5312" s="44"/>
      <c r="Y5312" s="44"/>
    </row>
    <row r="5313" spans="14:25" ht="15" customHeight="1" x14ac:dyDescent="0.25">
      <c r="N5313" s="44"/>
      <c r="O5313" s="44"/>
      <c r="P5313" s="44"/>
      <c r="Q5313" s="44"/>
      <c r="R5313" s="44"/>
      <c r="S5313" s="44"/>
      <c r="T5313" s="44"/>
      <c r="U5313" s="44"/>
      <c r="V5313" s="44"/>
      <c r="W5313" s="44"/>
      <c r="X5313" s="44"/>
      <c r="Y5313" s="44"/>
    </row>
    <row r="5314" spans="14:25" ht="15" customHeight="1" x14ac:dyDescent="0.25">
      <c r="N5314" s="44"/>
      <c r="O5314" s="44"/>
      <c r="P5314" s="44"/>
      <c r="Q5314" s="44"/>
      <c r="R5314" s="44"/>
      <c r="S5314" s="44"/>
      <c r="T5314" s="44"/>
      <c r="U5314" s="44"/>
      <c r="V5314" s="44"/>
      <c r="W5314" s="44"/>
      <c r="X5314" s="44"/>
      <c r="Y5314" s="44"/>
    </row>
    <row r="5315" spans="14:25" ht="15" customHeight="1" x14ac:dyDescent="0.25">
      <c r="N5315" s="44"/>
      <c r="O5315" s="44"/>
      <c r="P5315" s="44"/>
      <c r="Q5315" s="44"/>
      <c r="R5315" s="44"/>
      <c r="S5315" s="44"/>
      <c r="T5315" s="44"/>
      <c r="U5315" s="44"/>
      <c r="V5315" s="44"/>
      <c r="W5315" s="44"/>
      <c r="X5315" s="44"/>
      <c r="Y5315" s="44"/>
    </row>
    <row r="5316" spans="14:25" ht="15" customHeight="1" x14ac:dyDescent="0.25">
      <c r="N5316" s="44"/>
      <c r="O5316" s="44"/>
      <c r="P5316" s="44"/>
      <c r="Q5316" s="44"/>
      <c r="R5316" s="44"/>
      <c r="S5316" s="44"/>
      <c r="T5316" s="44"/>
      <c r="U5316" s="44"/>
      <c r="V5316" s="44"/>
      <c r="W5316" s="44"/>
      <c r="X5316" s="44"/>
      <c r="Y5316" s="44"/>
    </row>
    <row r="5317" spans="14:25" ht="15" customHeight="1" x14ac:dyDescent="0.25">
      <c r="N5317" s="44"/>
      <c r="O5317" s="44"/>
      <c r="P5317" s="44"/>
      <c r="Q5317" s="44"/>
      <c r="R5317" s="44"/>
      <c r="S5317" s="44"/>
      <c r="T5317" s="44"/>
      <c r="U5317" s="44"/>
      <c r="V5317" s="44"/>
      <c r="W5317" s="44"/>
      <c r="X5317" s="44"/>
      <c r="Y5317" s="44"/>
    </row>
    <row r="5318" spans="14:25" ht="15" customHeight="1" x14ac:dyDescent="0.25">
      <c r="N5318" s="44"/>
      <c r="O5318" s="44"/>
      <c r="P5318" s="44"/>
      <c r="Q5318" s="44"/>
      <c r="R5318" s="44"/>
      <c r="S5318" s="44"/>
      <c r="T5318" s="44"/>
      <c r="U5318" s="44"/>
      <c r="V5318" s="44"/>
      <c r="W5318" s="44"/>
      <c r="X5318" s="44"/>
      <c r="Y5318" s="44"/>
    </row>
    <row r="5319" spans="14:25" ht="15" customHeight="1" x14ac:dyDescent="0.25">
      <c r="N5319" s="44"/>
      <c r="O5319" s="44"/>
      <c r="P5319" s="44"/>
      <c r="Q5319" s="44"/>
      <c r="R5319" s="44"/>
      <c r="S5319" s="44"/>
      <c r="T5319" s="44"/>
      <c r="U5319" s="44"/>
      <c r="V5319" s="44"/>
      <c r="W5319" s="44"/>
      <c r="X5319" s="44"/>
      <c r="Y5319" s="44"/>
    </row>
    <row r="5320" spans="14:25" ht="15" customHeight="1" x14ac:dyDescent="0.25">
      <c r="N5320" s="44"/>
      <c r="O5320" s="44"/>
      <c r="P5320" s="44"/>
      <c r="Q5320" s="44"/>
      <c r="R5320" s="44"/>
      <c r="S5320" s="44"/>
      <c r="T5320" s="44"/>
      <c r="U5320" s="44"/>
      <c r="V5320" s="44"/>
      <c r="W5320" s="44"/>
      <c r="X5320" s="44"/>
      <c r="Y5320" s="44"/>
    </row>
    <row r="5321" spans="14:25" ht="15" customHeight="1" x14ac:dyDescent="0.25">
      <c r="N5321" s="44"/>
      <c r="O5321" s="44"/>
      <c r="P5321" s="44"/>
      <c r="Q5321" s="44"/>
      <c r="R5321" s="44"/>
      <c r="S5321" s="44"/>
      <c r="T5321" s="44"/>
      <c r="U5321" s="44"/>
      <c r="V5321" s="44"/>
      <c r="W5321" s="44"/>
      <c r="X5321" s="44"/>
      <c r="Y5321" s="44"/>
    </row>
    <row r="5322" spans="14:25" ht="15" customHeight="1" x14ac:dyDescent="0.25">
      <c r="N5322" s="44"/>
      <c r="O5322" s="44"/>
      <c r="P5322" s="44"/>
      <c r="Q5322" s="44"/>
      <c r="R5322" s="44"/>
      <c r="S5322" s="44"/>
      <c r="T5322" s="44"/>
      <c r="U5322" s="44"/>
      <c r="V5322" s="44"/>
      <c r="W5322" s="44"/>
      <c r="X5322" s="44"/>
      <c r="Y5322" s="44"/>
    </row>
    <row r="5323" spans="14:25" ht="15" customHeight="1" x14ac:dyDescent="0.25">
      <c r="N5323" s="44"/>
      <c r="O5323" s="44"/>
      <c r="P5323" s="44"/>
      <c r="Q5323" s="44"/>
      <c r="R5323" s="44"/>
      <c r="S5323" s="44"/>
      <c r="T5323" s="44"/>
      <c r="U5323" s="44"/>
      <c r="V5323" s="44"/>
      <c r="W5323" s="44"/>
      <c r="X5323" s="44"/>
      <c r="Y5323" s="44"/>
    </row>
    <row r="5324" spans="14:25" ht="15" customHeight="1" x14ac:dyDescent="0.25">
      <c r="N5324" s="44"/>
      <c r="O5324" s="44"/>
      <c r="P5324" s="44"/>
      <c r="Q5324" s="44"/>
      <c r="R5324" s="44"/>
      <c r="S5324" s="44"/>
      <c r="T5324" s="44"/>
      <c r="U5324" s="44"/>
      <c r="V5324" s="44"/>
      <c r="W5324" s="44"/>
      <c r="X5324" s="44"/>
      <c r="Y5324" s="44"/>
    </row>
    <row r="5325" spans="14:25" ht="15" customHeight="1" x14ac:dyDescent="0.25">
      <c r="N5325" s="44"/>
      <c r="O5325" s="44"/>
      <c r="P5325" s="44"/>
      <c r="Q5325" s="44"/>
      <c r="R5325" s="44"/>
      <c r="S5325" s="44"/>
      <c r="T5325" s="44"/>
      <c r="U5325" s="44"/>
      <c r="V5325" s="44"/>
      <c r="W5325" s="44"/>
      <c r="X5325" s="44"/>
      <c r="Y5325" s="44"/>
    </row>
    <row r="5326" spans="14:25" ht="15" customHeight="1" x14ac:dyDescent="0.25">
      <c r="N5326" s="44"/>
      <c r="O5326" s="44"/>
      <c r="P5326" s="44"/>
      <c r="Q5326" s="44"/>
      <c r="R5326" s="44"/>
      <c r="S5326" s="44"/>
      <c r="T5326" s="44"/>
      <c r="U5326" s="44"/>
      <c r="V5326" s="44"/>
      <c r="W5326" s="44"/>
      <c r="X5326" s="44"/>
      <c r="Y5326" s="44"/>
    </row>
    <row r="5327" spans="14:25" ht="15" customHeight="1" x14ac:dyDescent="0.25">
      <c r="N5327" s="44"/>
      <c r="O5327" s="44"/>
      <c r="P5327" s="44"/>
      <c r="Q5327" s="44"/>
      <c r="R5327" s="44"/>
      <c r="S5327" s="44"/>
      <c r="T5327" s="44"/>
      <c r="U5327" s="44"/>
      <c r="V5327" s="44"/>
      <c r="W5327" s="44"/>
      <c r="X5327" s="44"/>
      <c r="Y5327" s="44"/>
    </row>
    <row r="5328" spans="14:25" ht="15" customHeight="1" x14ac:dyDescent="0.25">
      <c r="N5328" s="44"/>
      <c r="O5328" s="44"/>
      <c r="P5328" s="44"/>
      <c r="Q5328" s="44"/>
      <c r="R5328" s="44"/>
      <c r="S5328" s="44"/>
      <c r="T5328" s="44"/>
      <c r="U5328" s="44"/>
      <c r="V5328" s="44"/>
      <c r="W5328" s="44"/>
      <c r="X5328" s="44"/>
      <c r="Y5328" s="44"/>
    </row>
    <row r="5329" spans="14:25" ht="15" customHeight="1" x14ac:dyDescent="0.25">
      <c r="N5329" s="44"/>
      <c r="O5329" s="44"/>
      <c r="P5329" s="44"/>
      <c r="Q5329" s="44"/>
      <c r="R5329" s="44"/>
      <c r="S5329" s="44"/>
      <c r="T5329" s="44"/>
      <c r="U5329" s="44"/>
      <c r="V5329" s="44"/>
      <c r="W5329" s="44"/>
      <c r="X5329" s="44"/>
      <c r="Y5329" s="44"/>
    </row>
    <row r="5330" spans="14:25" ht="15" customHeight="1" x14ac:dyDescent="0.25">
      <c r="N5330" s="44"/>
      <c r="O5330" s="44"/>
      <c r="P5330" s="44"/>
      <c r="Q5330" s="44"/>
      <c r="R5330" s="44"/>
      <c r="S5330" s="44"/>
      <c r="T5330" s="44"/>
      <c r="U5330" s="44"/>
      <c r="V5330" s="44"/>
      <c r="W5330" s="44"/>
      <c r="X5330" s="44"/>
      <c r="Y5330" s="44"/>
    </row>
    <row r="5331" spans="14:25" ht="15" customHeight="1" x14ac:dyDescent="0.25">
      <c r="N5331" s="44"/>
      <c r="O5331" s="44"/>
      <c r="P5331" s="44"/>
      <c r="Q5331" s="44"/>
      <c r="R5331" s="44"/>
      <c r="S5331" s="44"/>
      <c r="T5331" s="44"/>
      <c r="U5331" s="44"/>
      <c r="V5331" s="44"/>
      <c r="W5331" s="44"/>
      <c r="X5331" s="44"/>
      <c r="Y5331" s="44"/>
    </row>
    <row r="5332" spans="14:25" ht="15" customHeight="1" x14ac:dyDescent="0.25">
      <c r="N5332" s="44"/>
      <c r="O5332" s="44"/>
      <c r="P5332" s="44"/>
      <c r="Q5332" s="44"/>
      <c r="R5332" s="44"/>
      <c r="S5332" s="44"/>
      <c r="T5332" s="44"/>
      <c r="U5332" s="44"/>
      <c r="V5332" s="44"/>
      <c r="W5332" s="44"/>
      <c r="X5332" s="44"/>
      <c r="Y5332" s="44"/>
    </row>
    <row r="5333" spans="14:25" ht="15" customHeight="1" x14ac:dyDescent="0.25">
      <c r="N5333" s="44"/>
      <c r="O5333" s="44"/>
      <c r="P5333" s="44"/>
      <c r="Q5333" s="44"/>
      <c r="R5333" s="44"/>
      <c r="S5333" s="44"/>
      <c r="T5333" s="44"/>
      <c r="U5333" s="44"/>
      <c r="V5333" s="44"/>
      <c r="W5333" s="44"/>
      <c r="X5333" s="44"/>
      <c r="Y5333" s="44"/>
    </row>
    <row r="5334" spans="14:25" ht="15" customHeight="1" x14ac:dyDescent="0.25">
      <c r="N5334" s="44"/>
      <c r="O5334" s="44"/>
      <c r="P5334" s="44"/>
      <c r="Q5334" s="44"/>
      <c r="R5334" s="44"/>
      <c r="S5334" s="44"/>
      <c r="T5334" s="44"/>
      <c r="U5334" s="44"/>
      <c r="V5334" s="44"/>
      <c r="W5334" s="44"/>
      <c r="X5334" s="44"/>
      <c r="Y5334" s="44"/>
    </row>
    <row r="5335" spans="14:25" ht="15" customHeight="1" x14ac:dyDescent="0.25">
      <c r="N5335" s="44"/>
      <c r="O5335" s="44"/>
      <c r="P5335" s="44"/>
      <c r="Q5335" s="44"/>
      <c r="R5335" s="44"/>
      <c r="S5335" s="44"/>
      <c r="T5335" s="44"/>
      <c r="U5335" s="44"/>
      <c r="V5335" s="44"/>
      <c r="W5335" s="44"/>
      <c r="X5335" s="44"/>
      <c r="Y5335" s="44"/>
    </row>
    <row r="5336" spans="14:25" ht="15" customHeight="1" x14ac:dyDescent="0.25">
      <c r="N5336" s="44"/>
      <c r="O5336" s="44"/>
      <c r="P5336" s="44"/>
      <c r="Q5336" s="44"/>
      <c r="R5336" s="44"/>
      <c r="S5336" s="44"/>
      <c r="T5336" s="44"/>
      <c r="U5336" s="44"/>
      <c r="V5336" s="44"/>
      <c r="W5336" s="44"/>
      <c r="X5336" s="44"/>
      <c r="Y5336" s="44"/>
    </row>
    <row r="5337" spans="14:25" ht="15" customHeight="1" x14ac:dyDescent="0.25">
      <c r="N5337" s="44"/>
      <c r="O5337" s="44"/>
      <c r="P5337" s="44"/>
      <c r="Q5337" s="44"/>
      <c r="R5337" s="44"/>
      <c r="S5337" s="44"/>
      <c r="T5337" s="44"/>
      <c r="U5337" s="44"/>
      <c r="V5337" s="44"/>
      <c r="W5337" s="44"/>
      <c r="X5337" s="44"/>
      <c r="Y5337" s="44"/>
    </row>
    <row r="5338" spans="14:25" ht="15" customHeight="1" x14ac:dyDescent="0.25">
      <c r="N5338" s="44"/>
      <c r="O5338" s="44"/>
      <c r="P5338" s="44"/>
      <c r="Q5338" s="44"/>
      <c r="R5338" s="44"/>
      <c r="S5338" s="44"/>
      <c r="T5338" s="44"/>
      <c r="U5338" s="44"/>
      <c r="V5338" s="44"/>
      <c r="W5338" s="44"/>
      <c r="X5338" s="44"/>
      <c r="Y5338" s="44"/>
    </row>
    <row r="5339" spans="14:25" ht="15" customHeight="1" x14ac:dyDescent="0.25">
      <c r="N5339" s="44"/>
      <c r="O5339" s="44"/>
      <c r="P5339" s="44"/>
      <c r="Q5339" s="44"/>
      <c r="R5339" s="44"/>
      <c r="S5339" s="44"/>
      <c r="T5339" s="44"/>
      <c r="U5339" s="44"/>
      <c r="V5339" s="44"/>
      <c r="W5339" s="44"/>
      <c r="X5339" s="44"/>
      <c r="Y5339" s="44"/>
    </row>
    <row r="5340" spans="14:25" ht="15" customHeight="1" x14ac:dyDescent="0.25">
      <c r="N5340" s="44"/>
      <c r="O5340" s="44"/>
      <c r="P5340" s="44"/>
      <c r="Q5340" s="44"/>
      <c r="R5340" s="44"/>
      <c r="S5340" s="44"/>
      <c r="T5340" s="44"/>
      <c r="U5340" s="44"/>
      <c r="V5340" s="44"/>
      <c r="W5340" s="44"/>
      <c r="X5340" s="44"/>
      <c r="Y5340" s="44"/>
    </row>
    <row r="5341" spans="14:25" ht="15" customHeight="1" x14ac:dyDescent="0.25">
      <c r="N5341" s="44"/>
      <c r="O5341" s="44"/>
      <c r="P5341" s="44"/>
      <c r="Q5341" s="44"/>
      <c r="R5341" s="44"/>
      <c r="S5341" s="44"/>
      <c r="T5341" s="44"/>
      <c r="U5341" s="44"/>
      <c r="V5341" s="44"/>
      <c r="W5341" s="44"/>
      <c r="X5341" s="44"/>
      <c r="Y5341" s="44"/>
    </row>
    <row r="5342" spans="14:25" ht="15" customHeight="1" x14ac:dyDescent="0.25">
      <c r="N5342" s="44"/>
      <c r="O5342" s="44"/>
      <c r="P5342" s="44"/>
      <c r="Q5342" s="44"/>
      <c r="R5342" s="44"/>
      <c r="S5342" s="44"/>
      <c r="T5342" s="44"/>
      <c r="U5342" s="44"/>
      <c r="V5342" s="44"/>
      <c r="W5342" s="44"/>
      <c r="X5342" s="44"/>
      <c r="Y5342" s="44"/>
    </row>
    <row r="5343" spans="14:25" ht="15" customHeight="1" x14ac:dyDescent="0.25">
      <c r="N5343" s="44"/>
      <c r="O5343" s="44"/>
      <c r="P5343" s="44"/>
      <c r="Q5343" s="44"/>
      <c r="R5343" s="44"/>
      <c r="S5343" s="44"/>
      <c r="T5343" s="44"/>
      <c r="U5343" s="44"/>
      <c r="V5343" s="44"/>
      <c r="W5343" s="44"/>
      <c r="X5343" s="44"/>
      <c r="Y5343" s="44"/>
    </row>
    <row r="5344" spans="14:25" ht="15" customHeight="1" x14ac:dyDescent="0.25">
      <c r="N5344" s="44"/>
      <c r="O5344" s="44"/>
      <c r="P5344" s="44"/>
      <c r="Q5344" s="44"/>
      <c r="R5344" s="44"/>
      <c r="S5344" s="44"/>
      <c r="T5344" s="44"/>
      <c r="U5344" s="44"/>
      <c r="V5344" s="44"/>
      <c r="W5344" s="44"/>
      <c r="X5344" s="44"/>
      <c r="Y5344" s="44"/>
    </row>
    <row r="5345" spans="14:25" ht="15" customHeight="1" x14ac:dyDescent="0.25">
      <c r="N5345" s="44"/>
      <c r="O5345" s="44"/>
      <c r="P5345" s="44"/>
      <c r="Q5345" s="44"/>
      <c r="R5345" s="44"/>
      <c r="S5345" s="44"/>
      <c r="T5345" s="44"/>
      <c r="U5345" s="44"/>
      <c r="V5345" s="44"/>
      <c r="W5345" s="44"/>
      <c r="X5345" s="44"/>
      <c r="Y5345" s="44"/>
    </row>
    <row r="5346" spans="14:25" ht="15" customHeight="1" x14ac:dyDescent="0.25">
      <c r="N5346" s="44"/>
      <c r="O5346" s="44"/>
      <c r="P5346" s="44"/>
      <c r="Q5346" s="44"/>
      <c r="R5346" s="44"/>
      <c r="S5346" s="44"/>
      <c r="T5346" s="44"/>
      <c r="U5346" s="44"/>
      <c r="V5346" s="44"/>
      <c r="W5346" s="44"/>
      <c r="X5346" s="44"/>
      <c r="Y5346" s="44"/>
    </row>
    <row r="5347" spans="14:25" ht="15" customHeight="1" x14ac:dyDescent="0.25">
      <c r="N5347" s="44"/>
      <c r="O5347" s="44"/>
      <c r="P5347" s="44"/>
      <c r="Q5347" s="44"/>
      <c r="R5347" s="44"/>
      <c r="S5347" s="44"/>
      <c r="T5347" s="44"/>
      <c r="U5347" s="44"/>
      <c r="V5347" s="44"/>
      <c r="W5347" s="44"/>
      <c r="X5347" s="44"/>
      <c r="Y5347" s="44"/>
    </row>
    <row r="5348" spans="14:25" ht="15" customHeight="1" x14ac:dyDescent="0.25">
      <c r="N5348" s="44"/>
      <c r="O5348" s="44"/>
      <c r="P5348" s="44"/>
      <c r="Q5348" s="44"/>
      <c r="R5348" s="44"/>
      <c r="S5348" s="44"/>
      <c r="T5348" s="44"/>
      <c r="U5348" s="44"/>
      <c r="V5348" s="44"/>
      <c r="W5348" s="44"/>
      <c r="X5348" s="44"/>
      <c r="Y5348" s="44"/>
    </row>
    <row r="5349" spans="14:25" ht="15" customHeight="1" x14ac:dyDescent="0.25">
      <c r="N5349" s="44"/>
      <c r="O5349" s="44"/>
      <c r="P5349" s="44"/>
      <c r="Q5349" s="44"/>
      <c r="R5349" s="44"/>
      <c r="S5349" s="44"/>
      <c r="T5349" s="44"/>
      <c r="U5349" s="44"/>
      <c r="V5349" s="44"/>
      <c r="W5349" s="44"/>
      <c r="X5349" s="44"/>
      <c r="Y5349" s="44"/>
    </row>
    <row r="5350" spans="14:25" ht="15" customHeight="1" x14ac:dyDescent="0.25">
      <c r="N5350" s="44"/>
      <c r="O5350" s="44"/>
      <c r="P5350" s="44"/>
      <c r="Q5350" s="44"/>
      <c r="R5350" s="44"/>
      <c r="S5350" s="44"/>
      <c r="T5350" s="44"/>
      <c r="U5350" s="44"/>
      <c r="V5350" s="44"/>
      <c r="W5350" s="44"/>
      <c r="X5350" s="44"/>
      <c r="Y5350" s="44"/>
    </row>
    <row r="5351" spans="14:25" ht="15" customHeight="1" x14ac:dyDescent="0.25">
      <c r="N5351" s="44"/>
      <c r="O5351" s="44"/>
      <c r="P5351" s="44"/>
      <c r="Q5351" s="44"/>
      <c r="R5351" s="44"/>
      <c r="S5351" s="44"/>
      <c r="T5351" s="44"/>
      <c r="U5351" s="44"/>
      <c r="V5351" s="44"/>
      <c r="W5351" s="44"/>
      <c r="X5351" s="44"/>
      <c r="Y5351" s="44"/>
    </row>
    <row r="5352" spans="14:25" ht="15" customHeight="1" x14ac:dyDescent="0.25">
      <c r="N5352" s="44"/>
      <c r="O5352" s="44"/>
      <c r="P5352" s="44"/>
      <c r="Q5352" s="44"/>
      <c r="R5352" s="44"/>
      <c r="S5352" s="44"/>
      <c r="T5352" s="44"/>
      <c r="U5352" s="44"/>
      <c r="V5352" s="44"/>
      <c r="W5352" s="44"/>
      <c r="X5352" s="44"/>
      <c r="Y5352" s="44"/>
    </row>
    <row r="5353" spans="14:25" ht="15" customHeight="1" x14ac:dyDescent="0.25">
      <c r="N5353" s="44"/>
      <c r="O5353" s="44"/>
      <c r="P5353" s="44"/>
      <c r="Q5353" s="44"/>
      <c r="R5353" s="44"/>
      <c r="S5353" s="44"/>
      <c r="T5353" s="44"/>
      <c r="U5353" s="44"/>
      <c r="V5353" s="44"/>
      <c r="W5353" s="44"/>
      <c r="X5353" s="44"/>
      <c r="Y5353" s="44"/>
    </row>
    <row r="5354" spans="14:25" ht="15" customHeight="1" x14ac:dyDescent="0.25">
      <c r="N5354" s="44"/>
      <c r="O5354" s="44"/>
      <c r="P5354" s="44"/>
      <c r="Q5354" s="44"/>
      <c r="R5354" s="44"/>
      <c r="S5354" s="44"/>
      <c r="T5354" s="44"/>
      <c r="U5354" s="44"/>
      <c r="V5354" s="44"/>
      <c r="W5354" s="44"/>
      <c r="X5354" s="44"/>
      <c r="Y5354" s="44"/>
    </row>
    <row r="5355" spans="14:25" ht="15" customHeight="1" x14ac:dyDescent="0.25">
      <c r="N5355" s="44"/>
      <c r="O5355" s="44"/>
      <c r="P5355" s="44"/>
      <c r="Q5355" s="44"/>
      <c r="R5355" s="44"/>
      <c r="S5355" s="44"/>
      <c r="T5355" s="44"/>
      <c r="U5355" s="44"/>
      <c r="V5355" s="44"/>
      <c r="W5355" s="44"/>
      <c r="X5355" s="44"/>
      <c r="Y5355" s="44"/>
    </row>
    <row r="5356" spans="14:25" ht="15" customHeight="1" x14ac:dyDescent="0.25">
      <c r="N5356" s="44"/>
      <c r="O5356" s="44"/>
      <c r="P5356" s="44"/>
      <c r="Q5356" s="44"/>
      <c r="R5356" s="44"/>
      <c r="S5356" s="44"/>
      <c r="T5356" s="44"/>
      <c r="U5356" s="44"/>
      <c r="V5356" s="44"/>
      <c r="W5356" s="44"/>
      <c r="X5356" s="44"/>
      <c r="Y5356" s="44"/>
    </row>
    <row r="5357" spans="14:25" ht="15" customHeight="1" x14ac:dyDescent="0.25">
      <c r="N5357" s="44"/>
      <c r="O5357" s="44"/>
      <c r="P5357" s="44"/>
      <c r="Q5357" s="44"/>
      <c r="R5357" s="44"/>
      <c r="S5357" s="44"/>
      <c r="T5357" s="44"/>
      <c r="U5357" s="44"/>
      <c r="V5357" s="44"/>
      <c r="W5357" s="44"/>
      <c r="X5357" s="44"/>
      <c r="Y5357" s="44"/>
    </row>
    <row r="5358" spans="14:25" ht="15" customHeight="1" x14ac:dyDescent="0.25">
      <c r="N5358" s="44"/>
      <c r="O5358" s="44"/>
      <c r="P5358" s="44"/>
      <c r="Q5358" s="44"/>
      <c r="R5358" s="44"/>
      <c r="S5358" s="44"/>
      <c r="T5358" s="44"/>
      <c r="U5358" s="44"/>
      <c r="V5358" s="44"/>
      <c r="W5358" s="44"/>
      <c r="X5358" s="44"/>
      <c r="Y5358" s="44"/>
    </row>
    <row r="5359" spans="14:25" ht="15" customHeight="1" x14ac:dyDescent="0.25">
      <c r="N5359" s="44"/>
      <c r="O5359" s="44"/>
      <c r="P5359" s="44"/>
      <c r="Q5359" s="44"/>
      <c r="R5359" s="44"/>
      <c r="S5359" s="44"/>
      <c r="T5359" s="44"/>
      <c r="U5359" s="44"/>
      <c r="V5359" s="44"/>
      <c r="W5359" s="44"/>
      <c r="X5359" s="44"/>
      <c r="Y5359" s="44"/>
    </row>
    <row r="5360" spans="14:25" ht="15" customHeight="1" x14ac:dyDescent="0.25">
      <c r="N5360" s="44"/>
      <c r="O5360" s="44"/>
      <c r="P5360" s="44"/>
      <c r="Q5360" s="44"/>
      <c r="R5360" s="44"/>
      <c r="S5360" s="44"/>
      <c r="T5360" s="44"/>
      <c r="U5360" s="44"/>
      <c r="V5360" s="44"/>
      <c r="W5360" s="44"/>
      <c r="X5360" s="44"/>
      <c r="Y5360" s="44"/>
    </row>
    <row r="5361" spans="14:25" ht="15" customHeight="1" x14ac:dyDescent="0.25">
      <c r="N5361" s="44"/>
      <c r="O5361" s="44"/>
      <c r="P5361" s="44"/>
      <c r="Q5361" s="44"/>
      <c r="R5361" s="44"/>
      <c r="S5361" s="44"/>
      <c r="T5361" s="44"/>
      <c r="U5361" s="44"/>
      <c r="V5361" s="44"/>
      <c r="W5361" s="44"/>
      <c r="X5361" s="44"/>
      <c r="Y5361" s="44"/>
    </row>
    <row r="5362" spans="14:25" ht="15" customHeight="1" x14ac:dyDescent="0.25">
      <c r="N5362" s="44"/>
      <c r="O5362" s="44"/>
      <c r="P5362" s="44"/>
      <c r="Q5362" s="44"/>
      <c r="R5362" s="44"/>
      <c r="S5362" s="44"/>
      <c r="T5362" s="44"/>
      <c r="U5362" s="44"/>
      <c r="V5362" s="44"/>
      <c r="W5362" s="44"/>
      <c r="X5362" s="44"/>
      <c r="Y5362" s="44"/>
    </row>
    <row r="5363" spans="14:25" ht="15" customHeight="1" x14ac:dyDescent="0.25">
      <c r="N5363" s="44"/>
      <c r="O5363" s="44"/>
      <c r="P5363" s="44"/>
      <c r="Q5363" s="44"/>
      <c r="R5363" s="44"/>
      <c r="S5363" s="44"/>
      <c r="T5363" s="44"/>
      <c r="U5363" s="44"/>
      <c r="V5363" s="44"/>
      <c r="W5363" s="44"/>
      <c r="X5363" s="44"/>
      <c r="Y5363" s="44"/>
    </row>
    <row r="5364" spans="14:25" ht="15" customHeight="1" x14ac:dyDescent="0.25">
      <c r="N5364" s="44"/>
      <c r="O5364" s="44"/>
      <c r="P5364" s="44"/>
      <c r="Q5364" s="44"/>
      <c r="R5364" s="44"/>
      <c r="S5364" s="44"/>
      <c r="T5364" s="44"/>
      <c r="U5364" s="44"/>
      <c r="V5364" s="44"/>
      <c r="W5364" s="44"/>
      <c r="X5364" s="44"/>
      <c r="Y5364" s="44"/>
    </row>
    <row r="5365" spans="14:25" ht="15" customHeight="1" x14ac:dyDescent="0.25">
      <c r="N5365" s="44"/>
      <c r="O5365" s="44"/>
      <c r="P5365" s="44"/>
      <c r="Q5365" s="44"/>
      <c r="R5365" s="44"/>
      <c r="S5365" s="44"/>
      <c r="T5365" s="44"/>
      <c r="U5365" s="44"/>
      <c r="V5365" s="44"/>
      <c r="W5365" s="44"/>
      <c r="X5365" s="44"/>
      <c r="Y5365" s="44"/>
    </row>
    <row r="5366" spans="14:25" ht="15" customHeight="1" x14ac:dyDescent="0.25">
      <c r="N5366" s="44"/>
      <c r="O5366" s="44"/>
      <c r="P5366" s="44"/>
      <c r="Q5366" s="44"/>
      <c r="R5366" s="44"/>
      <c r="S5366" s="44"/>
      <c r="T5366" s="44"/>
      <c r="U5366" s="44"/>
      <c r="V5366" s="44"/>
      <c r="W5366" s="44"/>
      <c r="X5366" s="44"/>
      <c r="Y5366" s="44"/>
    </row>
    <row r="5367" spans="14:25" ht="15" customHeight="1" x14ac:dyDescent="0.25">
      <c r="N5367" s="44"/>
      <c r="O5367" s="44"/>
      <c r="P5367" s="44"/>
      <c r="Q5367" s="44"/>
      <c r="R5367" s="44"/>
      <c r="S5367" s="44"/>
      <c r="T5367" s="44"/>
      <c r="U5367" s="44"/>
      <c r="V5367" s="44"/>
      <c r="W5367" s="44"/>
      <c r="X5367" s="44"/>
      <c r="Y5367" s="44"/>
    </row>
    <row r="5368" spans="14:25" ht="15" customHeight="1" x14ac:dyDescent="0.25">
      <c r="N5368" s="44"/>
      <c r="O5368" s="44"/>
      <c r="P5368" s="44"/>
      <c r="Q5368" s="44"/>
      <c r="R5368" s="44"/>
      <c r="S5368" s="44"/>
      <c r="T5368" s="44"/>
      <c r="U5368" s="44"/>
      <c r="V5368" s="44"/>
      <c r="W5368" s="44"/>
      <c r="X5368" s="44"/>
      <c r="Y5368" s="44"/>
    </row>
    <row r="5369" spans="14:25" ht="15" customHeight="1" x14ac:dyDescent="0.25">
      <c r="N5369" s="44"/>
      <c r="O5369" s="44"/>
      <c r="P5369" s="44"/>
      <c r="Q5369" s="44"/>
      <c r="R5369" s="44"/>
      <c r="S5369" s="44"/>
      <c r="T5369" s="44"/>
      <c r="U5369" s="44"/>
      <c r="V5369" s="44"/>
      <c r="W5369" s="44"/>
      <c r="X5369" s="44"/>
      <c r="Y5369" s="44"/>
    </row>
    <row r="5370" spans="14:25" ht="15" customHeight="1" x14ac:dyDescent="0.25">
      <c r="N5370" s="44"/>
      <c r="O5370" s="44"/>
      <c r="P5370" s="44"/>
      <c r="Q5370" s="44"/>
      <c r="R5370" s="44"/>
      <c r="S5370" s="44"/>
      <c r="T5370" s="44"/>
      <c r="U5370" s="44"/>
      <c r="V5370" s="44"/>
      <c r="W5370" s="44"/>
      <c r="X5370" s="44"/>
      <c r="Y5370" s="44"/>
    </row>
    <row r="5371" spans="14:25" ht="15" customHeight="1" x14ac:dyDescent="0.25">
      <c r="N5371" s="44"/>
      <c r="O5371" s="44"/>
      <c r="P5371" s="44"/>
      <c r="Q5371" s="44"/>
      <c r="R5371" s="44"/>
      <c r="S5371" s="44"/>
      <c r="T5371" s="44"/>
      <c r="U5371" s="44"/>
      <c r="V5371" s="44"/>
      <c r="W5371" s="44"/>
      <c r="X5371" s="44"/>
      <c r="Y5371" s="44"/>
    </row>
    <row r="5372" spans="14:25" ht="15" customHeight="1" x14ac:dyDescent="0.25">
      <c r="N5372" s="44"/>
      <c r="O5372" s="44"/>
      <c r="P5372" s="44"/>
      <c r="Q5372" s="44"/>
      <c r="R5372" s="44"/>
      <c r="S5372" s="44"/>
      <c r="T5372" s="44"/>
      <c r="U5372" s="44"/>
      <c r="V5372" s="44"/>
      <c r="W5372" s="44"/>
      <c r="X5372" s="44"/>
      <c r="Y5372" s="44"/>
    </row>
    <row r="5373" spans="14:25" ht="15" customHeight="1" x14ac:dyDescent="0.25">
      <c r="N5373" s="44"/>
      <c r="O5373" s="44"/>
      <c r="P5373" s="44"/>
      <c r="Q5373" s="44"/>
      <c r="R5373" s="44"/>
      <c r="S5373" s="44"/>
      <c r="T5373" s="44"/>
      <c r="U5373" s="44"/>
      <c r="V5373" s="44"/>
      <c r="W5373" s="44"/>
      <c r="X5373" s="44"/>
      <c r="Y5373" s="44"/>
    </row>
    <row r="5374" spans="14:25" ht="15" customHeight="1" x14ac:dyDescent="0.25">
      <c r="N5374" s="44"/>
      <c r="O5374" s="44"/>
      <c r="P5374" s="44"/>
      <c r="Q5374" s="44"/>
      <c r="R5374" s="44"/>
      <c r="S5374" s="44"/>
      <c r="T5374" s="44"/>
      <c r="U5374" s="44"/>
      <c r="V5374" s="44"/>
      <c r="W5374" s="44"/>
      <c r="X5374" s="44"/>
      <c r="Y5374" s="44"/>
    </row>
    <row r="5375" spans="14:25" ht="15" customHeight="1" x14ac:dyDescent="0.25">
      <c r="N5375" s="44"/>
      <c r="O5375" s="44"/>
      <c r="P5375" s="44"/>
      <c r="Q5375" s="44"/>
      <c r="R5375" s="44"/>
      <c r="S5375" s="44"/>
      <c r="T5375" s="44"/>
      <c r="U5375" s="44"/>
      <c r="V5375" s="44"/>
      <c r="W5375" s="44"/>
      <c r="X5375" s="44"/>
      <c r="Y5375" s="44"/>
    </row>
    <row r="5376" spans="14:25" ht="15" customHeight="1" x14ac:dyDescent="0.25">
      <c r="N5376" s="44"/>
      <c r="O5376" s="44"/>
      <c r="P5376" s="44"/>
      <c r="Q5376" s="44"/>
      <c r="R5376" s="44"/>
      <c r="S5376" s="44"/>
      <c r="T5376" s="44"/>
      <c r="U5376" s="44"/>
      <c r="V5376" s="44"/>
      <c r="W5376" s="44"/>
      <c r="X5376" s="44"/>
      <c r="Y5376" s="44"/>
    </row>
    <row r="5377" spans="14:25" ht="15" customHeight="1" x14ac:dyDescent="0.25">
      <c r="N5377" s="44"/>
      <c r="O5377" s="44"/>
      <c r="P5377" s="44"/>
      <c r="Q5377" s="44"/>
      <c r="R5377" s="44"/>
      <c r="S5377" s="44"/>
      <c r="T5377" s="44"/>
      <c r="U5377" s="44"/>
      <c r="V5377" s="44"/>
      <c r="W5377" s="44"/>
      <c r="X5377" s="44"/>
      <c r="Y5377" s="44"/>
    </row>
    <row r="5378" spans="14:25" ht="15" customHeight="1" x14ac:dyDescent="0.25">
      <c r="N5378" s="44"/>
      <c r="O5378" s="44"/>
      <c r="P5378" s="44"/>
      <c r="Q5378" s="44"/>
      <c r="R5378" s="44"/>
      <c r="S5378" s="44"/>
      <c r="T5378" s="44"/>
      <c r="U5378" s="44"/>
      <c r="V5378" s="44"/>
      <c r="W5378" s="44"/>
      <c r="X5378" s="44"/>
      <c r="Y5378" s="44"/>
    </row>
    <row r="5379" spans="14:25" ht="15" customHeight="1" x14ac:dyDescent="0.25">
      <c r="N5379" s="44"/>
      <c r="O5379" s="44"/>
      <c r="P5379" s="44"/>
      <c r="Q5379" s="44"/>
      <c r="R5379" s="44"/>
      <c r="S5379" s="44"/>
      <c r="T5379" s="44"/>
      <c r="U5379" s="44"/>
      <c r="V5379" s="44"/>
      <c r="W5379" s="44"/>
      <c r="X5379" s="44"/>
      <c r="Y5379" s="44"/>
    </row>
    <row r="5380" spans="14:25" ht="15" customHeight="1" x14ac:dyDescent="0.25">
      <c r="N5380" s="44"/>
      <c r="O5380" s="44"/>
      <c r="P5380" s="44"/>
      <c r="Q5380" s="44"/>
      <c r="R5380" s="44"/>
      <c r="S5380" s="44"/>
      <c r="T5380" s="44"/>
      <c r="U5380" s="44"/>
      <c r="V5380" s="44"/>
      <c r="W5380" s="44"/>
      <c r="X5380" s="44"/>
      <c r="Y5380" s="44"/>
    </row>
    <row r="5381" spans="14:25" ht="15" customHeight="1" x14ac:dyDescent="0.25">
      <c r="N5381" s="44"/>
      <c r="O5381" s="44"/>
      <c r="P5381" s="44"/>
      <c r="Q5381" s="44"/>
      <c r="R5381" s="44"/>
      <c r="S5381" s="44"/>
      <c r="T5381" s="44"/>
      <c r="U5381" s="44"/>
      <c r="V5381" s="44"/>
      <c r="W5381" s="44"/>
      <c r="X5381" s="44"/>
      <c r="Y5381" s="44"/>
    </row>
    <row r="5382" spans="14:25" ht="15" customHeight="1" x14ac:dyDescent="0.25">
      <c r="N5382" s="44"/>
      <c r="O5382" s="44"/>
      <c r="P5382" s="44"/>
      <c r="Q5382" s="44"/>
      <c r="R5382" s="44"/>
      <c r="S5382" s="44"/>
      <c r="T5382" s="44"/>
      <c r="U5382" s="44"/>
      <c r="V5382" s="44"/>
      <c r="W5382" s="44"/>
      <c r="X5382" s="44"/>
      <c r="Y5382" s="44"/>
    </row>
    <row r="5383" spans="14:25" ht="15" customHeight="1" x14ac:dyDescent="0.25">
      <c r="N5383" s="44"/>
      <c r="O5383" s="44"/>
      <c r="P5383" s="44"/>
      <c r="Q5383" s="44"/>
      <c r="R5383" s="44"/>
      <c r="S5383" s="44"/>
      <c r="T5383" s="44"/>
      <c r="U5383" s="44"/>
      <c r="V5383" s="44"/>
      <c r="W5383" s="44"/>
      <c r="X5383" s="44"/>
      <c r="Y5383" s="44"/>
    </row>
    <row r="5384" spans="14:25" ht="15" customHeight="1" x14ac:dyDescent="0.25">
      <c r="N5384" s="44"/>
      <c r="O5384" s="44"/>
      <c r="P5384" s="44"/>
      <c r="Q5384" s="44"/>
      <c r="R5384" s="44"/>
      <c r="S5384" s="44"/>
      <c r="T5384" s="44"/>
      <c r="U5384" s="44"/>
      <c r="V5384" s="44"/>
      <c r="W5384" s="44"/>
      <c r="X5384" s="44"/>
      <c r="Y5384" s="44"/>
    </row>
    <row r="5385" spans="14:25" ht="15" customHeight="1" x14ac:dyDescent="0.25">
      <c r="N5385" s="44"/>
      <c r="O5385" s="44"/>
      <c r="P5385" s="44"/>
      <c r="Q5385" s="44"/>
      <c r="R5385" s="44"/>
      <c r="S5385" s="44"/>
      <c r="T5385" s="44"/>
      <c r="U5385" s="44"/>
      <c r="V5385" s="44"/>
      <c r="W5385" s="44"/>
      <c r="X5385" s="44"/>
      <c r="Y5385" s="44"/>
    </row>
    <row r="5386" spans="14:25" ht="15" customHeight="1" x14ac:dyDescent="0.25">
      <c r="N5386" s="44"/>
      <c r="O5386" s="44"/>
      <c r="P5386" s="44"/>
      <c r="Q5386" s="44"/>
      <c r="R5386" s="44"/>
      <c r="S5386" s="44"/>
      <c r="T5386" s="44"/>
      <c r="U5386" s="44"/>
      <c r="V5386" s="44"/>
      <c r="W5386" s="44"/>
      <c r="X5386" s="44"/>
      <c r="Y5386" s="44"/>
    </row>
    <row r="5387" spans="14:25" ht="15" customHeight="1" x14ac:dyDescent="0.25">
      <c r="N5387" s="44"/>
      <c r="O5387" s="44"/>
      <c r="P5387" s="44"/>
      <c r="Q5387" s="44"/>
      <c r="R5387" s="44"/>
      <c r="S5387" s="44"/>
      <c r="T5387" s="44"/>
      <c r="U5387" s="44"/>
      <c r="V5387" s="44"/>
      <c r="W5387" s="44"/>
      <c r="X5387" s="44"/>
      <c r="Y5387" s="44"/>
    </row>
    <row r="5388" spans="14:25" ht="15" customHeight="1" x14ac:dyDescent="0.25">
      <c r="N5388" s="44"/>
      <c r="O5388" s="44"/>
      <c r="P5388" s="44"/>
      <c r="Q5388" s="44"/>
      <c r="R5388" s="44"/>
      <c r="S5388" s="44"/>
      <c r="T5388" s="44"/>
      <c r="U5388" s="44"/>
      <c r="V5388" s="44"/>
      <c r="W5388" s="44"/>
      <c r="X5388" s="44"/>
      <c r="Y5388" s="44"/>
    </row>
    <row r="5389" spans="14:25" ht="15" customHeight="1" x14ac:dyDescent="0.25">
      <c r="N5389" s="44"/>
      <c r="O5389" s="44"/>
      <c r="P5389" s="44"/>
      <c r="Q5389" s="44"/>
      <c r="R5389" s="44"/>
      <c r="S5389" s="44"/>
      <c r="T5389" s="44"/>
      <c r="U5389" s="44"/>
      <c r="V5389" s="44"/>
      <c r="W5389" s="44"/>
      <c r="X5389" s="44"/>
      <c r="Y5389" s="44"/>
    </row>
    <row r="5390" spans="14:25" ht="15" customHeight="1" x14ac:dyDescent="0.25">
      <c r="N5390" s="44"/>
      <c r="O5390" s="44"/>
      <c r="P5390" s="44"/>
      <c r="Q5390" s="44"/>
      <c r="R5390" s="44"/>
      <c r="S5390" s="44"/>
      <c r="T5390" s="44"/>
      <c r="U5390" s="44"/>
      <c r="V5390" s="44"/>
      <c r="W5390" s="44"/>
      <c r="X5390" s="44"/>
      <c r="Y5390" s="44"/>
    </row>
    <row r="5391" spans="14:25" ht="15" customHeight="1" x14ac:dyDescent="0.25">
      <c r="N5391" s="44"/>
      <c r="O5391" s="44"/>
      <c r="P5391" s="44"/>
      <c r="Q5391" s="44"/>
      <c r="R5391" s="44"/>
      <c r="S5391" s="44"/>
      <c r="T5391" s="44"/>
      <c r="U5391" s="44"/>
      <c r="V5391" s="44"/>
      <c r="W5391" s="44"/>
      <c r="X5391" s="44"/>
      <c r="Y5391" s="44"/>
    </row>
    <row r="5392" spans="14:25" ht="15" customHeight="1" x14ac:dyDescent="0.25">
      <c r="N5392" s="44"/>
      <c r="O5392" s="44"/>
      <c r="P5392" s="44"/>
      <c r="Q5392" s="44"/>
      <c r="R5392" s="44"/>
      <c r="S5392" s="44"/>
      <c r="T5392" s="44"/>
      <c r="U5392" s="44"/>
      <c r="V5392" s="44"/>
      <c r="W5392" s="44"/>
      <c r="X5392" s="44"/>
      <c r="Y5392" s="44"/>
    </row>
    <row r="5393" spans="14:25" ht="15" customHeight="1" x14ac:dyDescent="0.25">
      <c r="N5393" s="44"/>
      <c r="O5393" s="44"/>
      <c r="P5393" s="44"/>
      <c r="Q5393" s="44"/>
      <c r="R5393" s="44"/>
      <c r="S5393" s="44"/>
      <c r="T5393" s="44"/>
      <c r="U5393" s="44"/>
      <c r="V5393" s="44"/>
      <c r="W5393" s="44"/>
      <c r="X5393" s="44"/>
      <c r="Y5393" s="44"/>
    </row>
    <row r="5394" spans="14:25" ht="15" customHeight="1" x14ac:dyDescent="0.25">
      <c r="N5394" s="44"/>
      <c r="O5394" s="44"/>
      <c r="P5394" s="44"/>
      <c r="Q5394" s="44"/>
      <c r="R5394" s="44"/>
      <c r="S5394" s="44"/>
      <c r="T5394" s="44"/>
      <c r="U5394" s="44"/>
      <c r="V5394" s="44"/>
      <c r="W5394" s="44"/>
      <c r="X5394" s="44"/>
      <c r="Y5394" s="44"/>
    </row>
    <row r="5395" spans="14:25" ht="15" customHeight="1" x14ac:dyDescent="0.25">
      <c r="N5395" s="44"/>
      <c r="O5395" s="44"/>
      <c r="P5395" s="44"/>
      <c r="Q5395" s="44"/>
      <c r="R5395" s="44"/>
      <c r="S5395" s="44"/>
      <c r="T5395" s="44"/>
      <c r="U5395" s="44"/>
      <c r="V5395" s="44"/>
      <c r="W5395" s="44"/>
      <c r="X5395" s="44"/>
      <c r="Y5395" s="44"/>
    </row>
    <row r="5396" spans="14:25" ht="15" customHeight="1" x14ac:dyDescent="0.25">
      <c r="N5396" s="44"/>
      <c r="O5396" s="44"/>
      <c r="P5396" s="44"/>
      <c r="Q5396" s="44"/>
      <c r="R5396" s="44"/>
      <c r="S5396" s="44"/>
      <c r="T5396" s="44"/>
      <c r="U5396" s="44"/>
      <c r="V5396" s="44"/>
      <c r="W5396" s="44"/>
      <c r="X5396" s="44"/>
      <c r="Y5396" s="44"/>
    </row>
    <row r="5397" spans="14:25" ht="15" customHeight="1" x14ac:dyDescent="0.25">
      <c r="N5397" s="44"/>
      <c r="O5397" s="44"/>
      <c r="P5397" s="44"/>
      <c r="Q5397" s="44"/>
      <c r="R5397" s="44"/>
      <c r="S5397" s="44"/>
      <c r="T5397" s="44"/>
      <c r="U5397" s="44"/>
      <c r="V5397" s="44"/>
      <c r="W5397" s="44"/>
      <c r="X5397" s="44"/>
      <c r="Y5397" s="44"/>
    </row>
    <row r="5398" spans="14:25" ht="15" customHeight="1" x14ac:dyDescent="0.25">
      <c r="N5398" s="44"/>
      <c r="O5398" s="44"/>
      <c r="P5398" s="44"/>
      <c r="Q5398" s="44"/>
      <c r="R5398" s="44"/>
      <c r="S5398" s="44"/>
      <c r="T5398" s="44"/>
      <c r="U5398" s="44"/>
      <c r="V5398" s="44"/>
      <c r="W5398" s="44"/>
      <c r="X5398" s="44"/>
      <c r="Y5398" s="44"/>
    </row>
    <row r="5399" spans="14:25" ht="15" customHeight="1" x14ac:dyDescent="0.25">
      <c r="N5399" s="44"/>
      <c r="O5399" s="44"/>
      <c r="P5399" s="44"/>
      <c r="Q5399" s="44"/>
      <c r="R5399" s="44"/>
      <c r="S5399" s="44"/>
      <c r="T5399" s="44"/>
      <c r="U5399" s="44"/>
      <c r="V5399" s="44"/>
      <c r="W5399" s="44"/>
      <c r="X5399" s="44"/>
      <c r="Y5399" s="44"/>
    </row>
    <row r="5400" spans="14:25" ht="15" customHeight="1" x14ac:dyDescent="0.25">
      <c r="N5400" s="44"/>
      <c r="O5400" s="44"/>
      <c r="P5400" s="44"/>
      <c r="Q5400" s="44"/>
      <c r="R5400" s="44"/>
      <c r="S5400" s="44"/>
      <c r="T5400" s="44"/>
      <c r="U5400" s="44"/>
      <c r="V5400" s="44"/>
      <c r="W5400" s="44"/>
      <c r="X5400" s="44"/>
      <c r="Y5400" s="44"/>
    </row>
    <row r="5401" spans="14:25" ht="15" customHeight="1" x14ac:dyDescent="0.25">
      <c r="N5401" s="44"/>
      <c r="O5401" s="44"/>
      <c r="P5401" s="44"/>
      <c r="Q5401" s="44"/>
      <c r="R5401" s="44"/>
      <c r="S5401" s="44"/>
      <c r="T5401" s="44"/>
      <c r="U5401" s="44"/>
      <c r="V5401" s="44"/>
      <c r="W5401" s="44"/>
      <c r="X5401" s="44"/>
      <c r="Y5401" s="44"/>
    </row>
    <row r="5402" spans="14:25" ht="15" customHeight="1" x14ac:dyDescent="0.25">
      <c r="N5402" s="44"/>
      <c r="O5402" s="44"/>
      <c r="P5402" s="44"/>
      <c r="Q5402" s="44"/>
      <c r="R5402" s="44"/>
      <c r="S5402" s="44"/>
      <c r="T5402" s="44"/>
      <c r="U5402" s="44"/>
      <c r="V5402" s="44"/>
      <c r="W5402" s="44"/>
      <c r="X5402" s="44"/>
      <c r="Y5402" s="44"/>
    </row>
    <row r="5403" spans="14:25" ht="15" customHeight="1" x14ac:dyDescent="0.25">
      <c r="N5403" s="44"/>
      <c r="O5403" s="44"/>
      <c r="P5403" s="44"/>
      <c r="Q5403" s="44"/>
      <c r="R5403" s="44"/>
      <c r="S5403" s="44"/>
      <c r="T5403" s="44"/>
      <c r="U5403" s="44"/>
      <c r="V5403" s="44"/>
      <c r="W5403" s="44"/>
      <c r="X5403" s="44"/>
      <c r="Y5403" s="44"/>
    </row>
    <row r="5404" spans="14:25" ht="15" customHeight="1" x14ac:dyDescent="0.25">
      <c r="N5404" s="44"/>
      <c r="O5404" s="44"/>
      <c r="P5404" s="44"/>
      <c r="Q5404" s="44"/>
      <c r="R5404" s="44"/>
      <c r="S5404" s="44"/>
      <c r="T5404" s="44"/>
      <c r="U5404" s="44"/>
      <c r="V5404" s="44"/>
      <c r="W5404" s="44"/>
      <c r="X5404" s="44"/>
      <c r="Y5404" s="44"/>
    </row>
    <row r="5405" spans="14:25" ht="15" customHeight="1" x14ac:dyDescent="0.25">
      <c r="N5405" s="44"/>
      <c r="O5405" s="44"/>
      <c r="P5405" s="44"/>
      <c r="Q5405" s="44"/>
      <c r="R5405" s="44"/>
      <c r="S5405" s="44"/>
      <c r="T5405" s="44"/>
      <c r="U5405" s="44"/>
      <c r="V5405" s="44"/>
      <c r="W5405" s="44"/>
      <c r="X5405" s="44"/>
      <c r="Y5405" s="44"/>
    </row>
    <row r="5406" spans="14:25" ht="15" customHeight="1" x14ac:dyDescent="0.25">
      <c r="N5406" s="44"/>
      <c r="O5406" s="44"/>
      <c r="P5406" s="44"/>
      <c r="Q5406" s="44"/>
      <c r="R5406" s="44"/>
      <c r="S5406" s="44"/>
      <c r="T5406" s="44"/>
      <c r="U5406" s="44"/>
      <c r="V5406" s="44"/>
      <c r="W5406" s="44"/>
      <c r="X5406" s="44"/>
      <c r="Y5406" s="44"/>
    </row>
    <row r="5407" spans="14:25" ht="15" customHeight="1" x14ac:dyDescent="0.25">
      <c r="N5407" s="44"/>
      <c r="O5407" s="44"/>
      <c r="P5407" s="44"/>
      <c r="Q5407" s="44"/>
      <c r="R5407" s="44"/>
      <c r="S5407" s="44"/>
      <c r="T5407" s="44"/>
      <c r="U5407" s="44"/>
      <c r="V5407" s="44"/>
      <c r="W5407" s="44"/>
      <c r="X5407" s="44"/>
      <c r="Y5407" s="44"/>
    </row>
    <row r="5408" spans="14:25" ht="15" customHeight="1" x14ac:dyDescent="0.25">
      <c r="N5408" s="44"/>
      <c r="O5408" s="44"/>
      <c r="P5408" s="44"/>
      <c r="Q5408" s="44"/>
      <c r="R5408" s="44"/>
      <c r="S5408" s="44"/>
      <c r="T5408" s="44"/>
      <c r="U5408" s="44"/>
      <c r="V5408" s="44"/>
      <c r="W5408" s="44"/>
      <c r="X5408" s="44"/>
      <c r="Y5408" s="44"/>
    </row>
    <row r="5409" spans="14:25" ht="15" customHeight="1" x14ac:dyDescent="0.25">
      <c r="N5409" s="44"/>
      <c r="O5409" s="44"/>
      <c r="P5409" s="44"/>
      <c r="Q5409" s="44"/>
      <c r="R5409" s="44"/>
      <c r="S5409" s="44"/>
      <c r="T5409" s="44"/>
      <c r="U5409" s="44"/>
      <c r="V5409" s="44"/>
      <c r="W5409" s="44"/>
      <c r="X5409" s="44"/>
      <c r="Y5409" s="44"/>
    </row>
    <row r="5410" spans="14:25" ht="15" customHeight="1" x14ac:dyDescent="0.25">
      <c r="N5410" s="44"/>
      <c r="O5410" s="44"/>
      <c r="P5410" s="44"/>
      <c r="Q5410" s="44"/>
      <c r="R5410" s="44"/>
      <c r="S5410" s="44"/>
      <c r="T5410" s="44"/>
      <c r="U5410" s="44"/>
      <c r="V5410" s="44"/>
      <c r="W5410" s="44"/>
      <c r="X5410" s="44"/>
      <c r="Y5410" s="44"/>
    </row>
    <row r="5411" spans="14:25" ht="15" customHeight="1" x14ac:dyDescent="0.25">
      <c r="N5411" s="44"/>
      <c r="O5411" s="44"/>
      <c r="P5411" s="44"/>
      <c r="Q5411" s="44"/>
      <c r="R5411" s="44"/>
      <c r="S5411" s="44"/>
      <c r="T5411" s="44"/>
      <c r="U5411" s="44"/>
      <c r="V5411" s="44"/>
      <c r="W5411" s="44"/>
      <c r="X5411" s="44"/>
      <c r="Y5411" s="44"/>
    </row>
    <row r="5412" spans="14:25" ht="15" customHeight="1" x14ac:dyDescent="0.25">
      <c r="N5412" s="44"/>
      <c r="O5412" s="44"/>
      <c r="P5412" s="44"/>
      <c r="Q5412" s="44"/>
      <c r="R5412" s="44"/>
      <c r="S5412" s="44"/>
      <c r="T5412" s="44"/>
      <c r="U5412" s="44"/>
      <c r="V5412" s="44"/>
      <c r="W5412" s="44"/>
      <c r="X5412" s="44"/>
      <c r="Y5412" s="44"/>
    </row>
    <row r="5413" spans="14:25" ht="15" customHeight="1" x14ac:dyDescent="0.25">
      <c r="N5413" s="44"/>
      <c r="O5413" s="44"/>
      <c r="P5413" s="44"/>
      <c r="Q5413" s="44"/>
      <c r="R5413" s="44"/>
      <c r="S5413" s="44"/>
      <c r="T5413" s="44"/>
      <c r="U5413" s="44"/>
      <c r="V5413" s="44"/>
      <c r="W5413" s="44"/>
      <c r="X5413" s="44"/>
      <c r="Y5413" s="44"/>
    </row>
    <row r="5414" spans="14:25" ht="15" customHeight="1" x14ac:dyDescent="0.25">
      <c r="N5414" s="44"/>
      <c r="O5414" s="44"/>
      <c r="P5414" s="44"/>
      <c r="Q5414" s="44"/>
      <c r="R5414" s="44"/>
      <c r="S5414" s="44"/>
      <c r="T5414" s="44"/>
      <c r="U5414" s="44"/>
      <c r="V5414" s="44"/>
      <c r="W5414" s="44"/>
      <c r="X5414" s="44"/>
      <c r="Y5414" s="44"/>
    </row>
    <row r="5415" spans="14:25" ht="15" customHeight="1" x14ac:dyDescent="0.25">
      <c r="N5415" s="44"/>
      <c r="O5415" s="44"/>
      <c r="P5415" s="44"/>
      <c r="Q5415" s="44"/>
      <c r="R5415" s="44"/>
      <c r="S5415" s="44"/>
      <c r="T5415" s="44"/>
      <c r="U5415" s="44"/>
      <c r="V5415" s="44"/>
      <c r="W5415" s="44"/>
      <c r="X5415" s="44"/>
      <c r="Y5415" s="44"/>
    </row>
    <row r="5416" spans="14:25" ht="15" customHeight="1" x14ac:dyDescent="0.25">
      <c r="N5416" s="44"/>
      <c r="O5416" s="44"/>
      <c r="P5416" s="44"/>
      <c r="Q5416" s="44"/>
      <c r="R5416" s="44"/>
      <c r="S5416" s="44"/>
      <c r="T5416" s="44"/>
      <c r="U5416" s="44"/>
      <c r="V5416" s="44"/>
      <c r="W5416" s="44"/>
      <c r="X5416" s="44"/>
      <c r="Y5416" s="44"/>
    </row>
    <row r="5417" spans="14:25" ht="15" customHeight="1" x14ac:dyDescent="0.25">
      <c r="N5417" s="44"/>
      <c r="O5417" s="44"/>
      <c r="P5417" s="44"/>
      <c r="Q5417" s="44"/>
      <c r="R5417" s="44"/>
      <c r="S5417" s="44"/>
      <c r="T5417" s="44"/>
      <c r="U5417" s="44"/>
      <c r="V5417" s="44"/>
      <c r="W5417" s="44"/>
      <c r="X5417" s="44"/>
      <c r="Y5417" s="44"/>
    </row>
    <row r="5418" spans="14:25" ht="15" customHeight="1" x14ac:dyDescent="0.25">
      <c r="N5418" s="44"/>
      <c r="O5418" s="44"/>
      <c r="P5418" s="44"/>
      <c r="Q5418" s="44"/>
      <c r="R5418" s="44"/>
      <c r="S5418" s="44"/>
      <c r="T5418" s="44"/>
      <c r="U5418" s="44"/>
      <c r="V5418" s="44"/>
      <c r="W5418" s="44"/>
      <c r="X5418" s="44"/>
      <c r="Y5418" s="44"/>
    </row>
    <row r="5419" spans="14:25" ht="15" customHeight="1" x14ac:dyDescent="0.25">
      <c r="N5419" s="44"/>
      <c r="O5419" s="44"/>
      <c r="P5419" s="44"/>
      <c r="Q5419" s="44"/>
      <c r="R5419" s="44"/>
      <c r="S5419" s="44"/>
      <c r="T5419" s="44"/>
      <c r="U5419" s="44"/>
      <c r="V5419" s="44"/>
      <c r="W5419" s="44"/>
      <c r="X5419" s="44"/>
      <c r="Y5419" s="44"/>
    </row>
    <row r="5420" spans="14:25" ht="15" customHeight="1" x14ac:dyDescent="0.25">
      <c r="N5420" s="44"/>
      <c r="O5420" s="44"/>
      <c r="P5420" s="44"/>
      <c r="Q5420" s="44"/>
      <c r="R5420" s="44"/>
      <c r="S5420" s="44"/>
      <c r="T5420" s="44"/>
      <c r="U5420" s="44"/>
      <c r="V5420" s="44"/>
      <c r="W5420" s="44"/>
      <c r="X5420" s="44"/>
      <c r="Y5420" s="44"/>
    </row>
    <row r="5421" spans="14:25" ht="15" customHeight="1" x14ac:dyDescent="0.25">
      <c r="N5421" s="44"/>
      <c r="O5421" s="44"/>
      <c r="P5421" s="44"/>
      <c r="Q5421" s="44"/>
      <c r="R5421" s="44"/>
      <c r="S5421" s="44"/>
      <c r="T5421" s="44"/>
      <c r="U5421" s="44"/>
      <c r="V5421" s="44"/>
      <c r="W5421" s="44"/>
      <c r="X5421" s="44"/>
      <c r="Y5421" s="44"/>
    </row>
    <row r="5422" spans="14:25" ht="15" customHeight="1" x14ac:dyDescent="0.25">
      <c r="N5422" s="44"/>
      <c r="O5422" s="44"/>
      <c r="P5422" s="44"/>
      <c r="Q5422" s="44"/>
      <c r="R5422" s="44"/>
      <c r="S5422" s="44"/>
      <c r="T5422" s="44"/>
      <c r="U5422" s="44"/>
      <c r="V5422" s="44"/>
      <c r="W5422" s="44"/>
      <c r="X5422" s="44"/>
      <c r="Y5422" s="44"/>
    </row>
    <row r="5423" spans="14:25" ht="15" customHeight="1" x14ac:dyDescent="0.25">
      <c r="N5423" s="44"/>
      <c r="O5423" s="44"/>
      <c r="P5423" s="44"/>
      <c r="Q5423" s="44"/>
      <c r="R5423" s="44"/>
      <c r="S5423" s="44"/>
      <c r="T5423" s="44"/>
      <c r="U5423" s="44"/>
      <c r="V5423" s="44"/>
      <c r="W5423" s="44"/>
      <c r="X5423" s="44"/>
      <c r="Y5423" s="44"/>
    </row>
    <row r="5424" spans="14:25" ht="15" customHeight="1" x14ac:dyDescent="0.25">
      <c r="N5424" s="44"/>
      <c r="O5424" s="44"/>
      <c r="P5424" s="44"/>
      <c r="Q5424" s="44"/>
      <c r="R5424" s="44"/>
      <c r="S5424" s="44"/>
      <c r="T5424" s="44"/>
      <c r="U5424" s="44"/>
      <c r="V5424" s="44"/>
      <c r="W5424" s="44"/>
      <c r="X5424" s="44"/>
      <c r="Y5424" s="44"/>
    </row>
    <row r="5425" spans="14:25" ht="15" customHeight="1" x14ac:dyDescent="0.25">
      <c r="N5425" s="44"/>
      <c r="O5425" s="44"/>
      <c r="P5425" s="44"/>
      <c r="Q5425" s="44"/>
      <c r="R5425" s="44"/>
      <c r="S5425" s="44"/>
      <c r="T5425" s="44"/>
      <c r="U5425" s="44"/>
      <c r="V5425" s="44"/>
      <c r="W5425" s="44"/>
      <c r="X5425" s="44"/>
      <c r="Y5425" s="44"/>
    </row>
    <row r="5426" spans="14:25" ht="15" customHeight="1" x14ac:dyDescent="0.25">
      <c r="N5426" s="44"/>
      <c r="O5426" s="44"/>
      <c r="P5426" s="44"/>
      <c r="Q5426" s="44"/>
      <c r="R5426" s="44"/>
      <c r="S5426" s="44"/>
      <c r="T5426" s="44"/>
      <c r="U5426" s="44"/>
      <c r="V5426" s="44"/>
      <c r="W5426" s="44"/>
      <c r="X5426" s="44"/>
      <c r="Y5426" s="44"/>
    </row>
    <row r="5427" spans="14:25" ht="15" customHeight="1" x14ac:dyDescent="0.25">
      <c r="N5427" s="44"/>
      <c r="O5427" s="44"/>
      <c r="P5427" s="44"/>
      <c r="Q5427" s="44"/>
      <c r="R5427" s="44"/>
      <c r="S5427" s="44"/>
      <c r="T5427" s="44"/>
      <c r="U5427" s="44"/>
      <c r="V5427" s="44"/>
      <c r="W5427" s="44"/>
      <c r="X5427" s="44"/>
      <c r="Y5427" s="44"/>
    </row>
    <row r="5428" spans="14:25" ht="15" customHeight="1" x14ac:dyDescent="0.25">
      <c r="N5428" s="44"/>
      <c r="O5428" s="44"/>
      <c r="P5428" s="44"/>
      <c r="Q5428" s="44"/>
      <c r="R5428" s="44"/>
      <c r="S5428" s="44"/>
      <c r="T5428" s="44"/>
      <c r="U5428" s="44"/>
      <c r="V5428" s="44"/>
      <c r="W5428" s="44"/>
      <c r="X5428" s="44"/>
      <c r="Y5428" s="44"/>
    </row>
    <row r="5429" spans="14:25" ht="15" customHeight="1" x14ac:dyDescent="0.25">
      <c r="N5429" s="44"/>
      <c r="O5429" s="44"/>
      <c r="P5429" s="44"/>
      <c r="Q5429" s="44"/>
      <c r="R5429" s="44"/>
      <c r="S5429" s="44"/>
      <c r="T5429" s="44"/>
      <c r="U5429" s="44"/>
      <c r="V5429" s="44"/>
      <c r="W5429" s="44"/>
      <c r="X5429" s="44"/>
      <c r="Y5429" s="44"/>
    </row>
    <row r="5430" spans="14:25" ht="15" customHeight="1" x14ac:dyDescent="0.25">
      <c r="N5430" s="44"/>
      <c r="O5430" s="44"/>
      <c r="P5430" s="44"/>
      <c r="Q5430" s="44"/>
      <c r="R5430" s="44"/>
      <c r="S5430" s="44"/>
      <c r="T5430" s="44"/>
      <c r="U5430" s="44"/>
      <c r="V5430" s="44"/>
      <c r="W5430" s="44"/>
      <c r="X5430" s="44"/>
      <c r="Y5430" s="44"/>
    </row>
    <row r="5431" spans="14:25" ht="15" customHeight="1" x14ac:dyDescent="0.25">
      <c r="N5431" s="44"/>
      <c r="O5431" s="44"/>
      <c r="P5431" s="44"/>
      <c r="Q5431" s="44"/>
      <c r="R5431" s="44"/>
      <c r="S5431" s="44"/>
      <c r="T5431" s="44"/>
      <c r="U5431" s="44"/>
      <c r="V5431" s="44"/>
      <c r="W5431" s="44"/>
      <c r="X5431" s="44"/>
      <c r="Y5431" s="44"/>
    </row>
    <row r="5432" spans="14:25" ht="15" customHeight="1" x14ac:dyDescent="0.25">
      <c r="N5432" s="44"/>
      <c r="O5432" s="44"/>
      <c r="P5432" s="44"/>
      <c r="Q5432" s="44"/>
      <c r="R5432" s="44"/>
      <c r="S5432" s="44"/>
      <c r="T5432" s="44"/>
      <c r="U5432" s="44"/>
      <c r="V5432" s="44"/>
      <c r="W5432" s="44"/>
      <c r="X5432" s="44"/>
      <c r="Y5432" s="44"/>
    </row>
    <row r="5433" spans="14:25" ht="15" customHeight="1" x14ac:dyDescent="0.25">
      <c r="N5433" s="44"/>
      <c r="O5433" s="44"/>
      <c r="P5433" s="44"/>
      <c r="Q5433" s="44"/>
      <c r="R5433" s="44"/>
      <c r="S5433" s="44"/>
      <c r="T5433" s="44"/>
      <c r="U5433" s="44"/>
      <c r="V5433" s="44"/>
      <c r="W5433" s="44"/>
      <c r="X5433" s="44"/>
      <c r="Y5433" s="44"/>
    </row>
    <row r="5434" spans="14:25" ht="15" customHeight="1" x14ac:dyDescent="0.25">
      <c r="N5434" s="44"/>
      <c r="O5434" s="44"/>
      <c r="P5434" s="44"/>
      <c r="Q5434" s="44"/>
      <c r="R5434" s="44"/>
      <c r="S5434" s="44"/>
      <c r="T5434" s="44"/>
      <c r="U5434" s="44"/>
      <c r="V5434" s="44"/>
      <c r="W5434" s="44"/>
      <c r="X5434" s="44"/>
      <c r="Y5434" s="44"/>
    </row>
    <row r="5435" spans="14:25" ht="15" customHeight="1" x14ac:dyDescent="0.25">
      <c r="N5435" s="44"/>
      <c r="O5435" s="44"/>
      <c r="P5435" s="44"/>
      <c r="Q5435" s="44"/>
      <c r="R5435" s="44"/>
      <c r="S5435" s="44"/>
      <c r="T5435" s="44"/>
      <c r="U5435" s="44"/>
      <c r="V5435" s="44"/>
      <c r="W5435" s="44"/>
      <c r="X5435" s="44"/>
      <c r="Y5435" s="44"/>
    </row>
    <row r="5436" spans="14:25" ht="15" customHeight="1" x14ac:dyDescent="0.25">
      <c r="N5436" s="44"/>
      <c r="O5436" s="44"/>
      <c r="P5436" s="44"/>
      <c r="Q5436" s="44"/>
      <c r="R5436" s="44"/>
      <c r="S5436" s="44"/>
      <c r="T5436" s="44"/>
      <c r="U5436" s="44"/>
      <c r="V5436" s="44"/>
      <c r="W5436" s="44"/>
      <c r="X5436" s="44"/>
      <c r="Y5436" s="44"/>
    </row>
    <row r="5437" spans="14:25" ht="15" customHeight="1" x14ac:dyDescent="0.25">
      <c r="N5437" s="44"/>
      <c r="O5437" s="44"/>
      <c r="P5437" s="44"/>
      <c r="Q5437" s="44"/>
      <c r="R5437" s="44"/>
      <c r="S5437" s="44"/>
      <c r="T5437" s="44"/>
      <c r="U5437" s="44"/>
      <c r="V5437" s="44"/>
      <c r="W5437" s="44"/>
      <c r="X5437" s="44"/>
      <c r="Y5437" s="44"/>
    </row>
    <row r="5438" spans="14:25" ht="15" customHeight="1" x14ac:dyDescent="0.25">
      <c r="N5438" s="44"/>
      <c r="O5438" s="44"/>
      <c r="P5438" s="44"/>
      <c r="Q5438" s="44"/>
      <c r="R5438" s="44"/>
      <c r="S5438" s="44"/>
      <c r="T5438" s="44"/>
      <c r="U5438" s="44"/>
      <c r="V5438" s="44"/>
      <c r="W5438" s="44"/>
      <c r="X5438" s="44"/>
      <c r="Y5438" s="44"/>
    </row>
    <row r="5439" spans="14:25" ht="15" customHeight="1" x14ac:dyDescent="0.25">
      <c r="N5439" s="44"/>
      <c r="O5439" s="44"/>
      <c r="P5439" s="44"/>
      <c r="Q5439" s="44"/>
      <c r="R5439" s="44"/>
      <c r="S5439" s="44"/>
      <c r="T5439" s="44"/>
      <c r="U5439" s="44"/>
      <c r="V5439" s="44"/>
      <c r="W5439" s="44"/>
      <c r="X5439" s="44"/>
      <c r="Y5439" s="44"/>
    </row>
    <row r="5440" spans="14:25" ht="15" customHeight="1" x14ac:dyDescent="0.25">
      <c r="N5440" s="44"/>
      <c r="O5440" s="44"/>
      <c r="P5440" s="44"/>
      <c r="Q5440" s="44"/>
      <c r="R5440" s="44"/>
      <c r="S5440" s="44"/>
      <c r="T5440" s="44"/>
      <c r="U5440" s="44"/>
      <c r="V5440" s="44"/>
      <c r="W5440" s="44"/>
      <c r="X5440" s="44"/>
      <c r="Y5440" s="44"/>
    </row>
    <row r="5441" spans="14:25" ht="15" customHeight="1" x14ac:dyDescent="0.25">
      <c r="N5441" s="44"/>
      <c r="O5441" s="44"/>
      <c r="P5441" s="44"/>
      <c r="Q5441" s="44"/>
      <c r="R5441" s="44"/>
      <c r="S5441" s="44"/>
      <c r="T5441" s="44"/>
      <c r="U5441" s="44"/>
      <c r="V5441" s="44"/>
      <c r="W5441" s="44"/>
      <c r="X5441" s="44"/>
      <c r="Y5441" s="44"/>
    </row>
    <row r="5442" spans="14:25" ht="15" customHeight="1" x14ac:dyDescent="0.25">
      <c r="N5442" s="44"/>
      <c r="O5442" s="44"/>
      <c r="P5442" s="44"/>
      <c r="Q5442" s="44"/>
      <c r="R5442" s="44"/>
      <c r="S5442" s="44"/>
      <c r="T5442" s="44"/>
      <c r="U5442" s="44"/>
      <c r="V5442" s="44"/>
      <c r="W5442" s="44"/>
      <c r="X5442" s="44"/>
      <c r="Y5442" s="44"/>
    </row>
    <row r="5443" spans="14:25" ht="15" customHeight="1" x14ac:dyDescent="0.25">
      <c r="N5443" s="44"/>
      <c r="O5443" s="44"/>
      <c r="P5443" s="44"/>
      <c r="Q5443" s="44"/>
      <c r="R5443" s="44"/>
      <c r="S5443" s="44"/>
      <c r="T5443" s="44"/>
      <c r="U5443" s="44"/>
      <c r="V5443" s="44"/>
      <c r="W5443" s="44"/>
      <c r="X5443" s="44"/>
      <c r="Y5443" s="44"/>
    </row>
    <row r="5444" spans="14:25" ht="15" customHeight="1" x14ac:dyDescent="0.25">
      <c r="N5444" s="44"/>
      <c r="O5444" s="44"/>
      <c r="P5444" s="44"/>
      <c r="Q5444" s="44"/>
      <c r="R5444" s="44"/>
      <c r="S5444" s="44"/>
      <c r="T5444" s="44"/>
      <c r="U5444" s="44"/>
      <c r="V5444" s="44"/>
      <c r="W5444" s="44"/>
      <c r="X5444" s="44"/>
      <c r="Y5444" s="44"/>
    </row>
    <row r="5445" spans="14:25" ht="15" customHeight="1" x14ac:dyDescent="0.25">
      <c r="N5445" s="44"/>
      <c r="O5445" s="44"/>
      <c r="P5445" s="44"/>
      <c r="Q5445" s="44"/>
      <c r="R5445" s="44"/>
      <c r="S5445" s="44"/>
      <c r="T5445" s="44"/>
      <c r="U5445" s="44"/>
      <c r="V5445" s="44"/>
      <c r="W5445" s="44"/>
      <c r="X5445" s="44"/>
      <c r="Y5445" s="44"/>
    </row>
    <row r="5446" spans="14:25" ht="15" customHeight="1" x14ac:dyDescent="0.25">
      <c r="N5446" s="44"/>
      <c r="O5446" s="44"/>
      <c r="P5446" s="44"/>
      <c r="Q5446" s="44"/>
      <c r="R5446" s="44"/>
      <c r="S5446" s="44"/>
      <c r="T5446" s="44"/>
      <c r="U5446" s="44"/>
      <c r="V5446" s="44"/>
      <c r="W5446" s="44"/>
      <c r="X5446" s="44"/>
      <c r="Y5446" s="44"/>
    </row>
    <row r="5447" spans="14:25" ht="15" customHeight="1" x14ac:dyDescent="0.25">
      <c r="N5447" s="44"/>
      <c r="O5447" s="44"/>
      <c r="P5447" s="44"/>
      <c r="Q5447" s="44"/>
      <c r="R5447" s="44"/>
      <c r="S5447" s="44"/>
      <c r="T5447" s="44"/>
      <c r="U5447" s="44"/>
      <c r="V5447" s="44"/>
      <c r="W5447" s="44"/>
      <c r="X5447" s="44"/>
      <c r="Y5447" s="44"/>
    </row>
    <row r="5448" spans="14:25" ht="15" customHeight="1" x14ac:dyDescent="0.25">
      <c r="N5448" s="44"/>
      <c r="O5448" s="44"/>
      <c r="P5448" s="44"/>
      <c r="Q5448" s="44"/>
      <c r="R5448" s="44"/>
      <c r="S5448" s="44"/>
      <c r="T5448" s="44"/>
      <c r="U5448" s="44"/>
      <c r="V5448" s="44"/>
      <c r="W5448" s="44"/>
      <c r="X5448" s="44"/>
      <c r="Y5448" s="44"/>
    </row>
    <row r="5449" spans="14:25" ht="15" customHeight="1" x14ac:dyDescent="0.25">
      <c r="N5449" s="44"/>
      <c r="O5449" s="44"/>
      <c r="P5449" s="44"/>
      <c r="Q5449" s="44"/>
      <c r="R5449" s="44"/>
      <c r="S5449" s="44"/>
      <c r="T5449" s="44"/>
      <c r="U5449" s="44"/>
      <c r="V5449" s="44"/>
      <c r="W5449" s="44"/>
      <c r="X5449" s="44"/>
      <c r="Y5449" s="44"/>
    </row>
    <row r="5450" spans="14:25" ht="15" customHeight="1" x14ac:dyDescent="0.25">
      <c r="N5450" s="44"/>
      <c r="O5450" s="44"/>
      <c r="P5450" s="44"/>
      <c r="Q5450" s="44"/>
      <c r="R5450" s="44"/>
      <c r="S5450" s="44"/>
      <c r="T5450" s="44"/>
      <c r="U5450" s="44"/>
      <c r="V5450" s="44"/>
      <c r="W5450" s="44"/>
      <c r="X5450" s="44"/>
      <c r="Y5450" s="44"/>
    </row>
    <row r="5451" spans="14:25" ht="15" customHeight="1" x14ac:dyDescent="0.25">
      <c r="N5451" s="44"/>
      <c r="O5451" s="44"/>
      <c r="P5451" s="44"/>
      <c r="Q5451" s="44"/>
      <c r="R5451" s="44"/>
      <c r="S5451" s="44"/>
      <c r="T5451" s="44"/>
      <c r="U5451" s="44"/>
      <c r="V5451" s="44"/>
      <c r="W5451" s="44"/>
      <c r="X5451" s="44"/>
      <c r="Y5451" s="44"/>
    </row>
    <row r="5452" spans="14:25" ht="15" customHeight="1" x14ac:dyDescent="0.25">
      <c r="N5452" s="44"/>
      <c r="O5452" s="44"/>
      <c r="P5452" s="44"/>
      <c r="Q5452" s="44"/>
      <c r="R5452" s="44"/>
      <c r="S5452" s="44"/>
      <c r="T5452" s="44"/>
      <c r="U5452" s="44"/>
      <c r="V5452" s="44"/>
      <c r="W5452" s="44"/>
      <c r="X5452" s="44"/>
      <c r="Y5452" s="44"/>
    </row>
    <row r="5453" spans="14:25" ht="15" customHeight="1" x14ac:dyDescent="0.25">
      <c r="N5453" s="44"/>
      <c r="O5453" s="44"/>
      <c r="P5453" s="44"/>
      <c r="Q5453" s="44"/>
      <c r="R5453" s="44"/>
      <c r="S5453" s="44"/>
      <c r="T5453" s="44"/>
      <c r="U5453" s="44"/>
      <c r="V5453" s="44"/>
      <c r="W5453" s="44"/>
      <c r="X5453" s="44"/>
      <c r="Y5453" s="44"/>
    </row>
    <row r="5454" spans="14:25" ht="15" customHeight="1" x14ac:dyDescent="0.25">
      <c r="N5454" s="44"/>
      <c r="O5454" s="44"/>
      <c r="P5454" s="44"/>
      <c r="Q5454" s="44"/>
      <c r="R5454" s="44"/>
      <c r="S5454" s="44"/>
      <c r="T5454" s="44"/>
      <c r="U5454" s="44"/>
      <c r="V5454" s="44"/>
      <c r="W5454" s="44"/>
      <c r="X5454" s="44"/>
      <c r="Y5454" s="44"/>
    </row>
    <row r="5455" spans="14:25" ht="15" customHeight="1" x14ac:dyDescent="0.25">
      <c r="N5455" s="44"/>
      <c r="O5455" s="44"/>
      <c r="P5455" s="44"/>
      <c r="Q5455" s="44"/>
      <c r="R5455" s="44"/>
      <c r="S5455" s="44"/>
      <c r="T5455" s="44"/>
      <c r="U5455" s="44"/>
      <c r="V5455" s="44"/>
      <c r="W5455" s="44"/>
      <c r="X5455" s="44"/>
      <c r="Y5455" s="44"/>
    </row>
    <row r="5456" spans="14:25" ht="15" customHeight="1" x14ac:dyDescent="0.25">
      <c r="N5456" s="44"/>
      <c r="O5456" s="44"/>
      <c r="P5456" s="44"/>
      <c r="Q5456" s="44"/>
      <c r="R5456" s="44"/>
      <c r="S5456" s="44"/>
      <c r="T5456" s="44"/>
      <c r="U5456" s="44"/>
      <c r="V5456" s="44"/>
      <c r="W5456" s="44"/>
      <c r="X5456" s="44"/>
      <c r="Y5456" s="44"/>
    </row>
    <row r="5457" spans="14:25" ht="15" customHeight="1" x14ac:dyDescent="0.25">
      <c r="N5457" s="44"/>
      <c r="O5457" s="44"/>
      <c r="P5457" s="44"/>
      <c r="Q5457" s="44"/>
      <c r="R5457" s="44"/>
      <c r="S5457" s="44"/>
      <c r="T5457" s="44"/>
      <c r="U5457" s="44"/>
      <c r="V5457" s="44"/>
      <c r="W5457" s="44"/>
      <c r="X5457" s="44"/>
      <c r="Y5457" s="44"/>
    </row>
    <row r="5458" spans="14:25" ht="15" customHeight="1" x14ac:dyDescent="0.25">
      <c r="N5458" s="44"/>
      <c r="O5458" s="44"/>
      <c r="P5458" s="44"/>
      <c r="Q5458" s="44"/>
      <c r="R5458" s="44"/>
      <c r="S5458" s="44"/>
      <c r="T5458" s="44"/>
      <c r="U5458" s="44"/>
      <c r="V5458" s="44"/>
      <c r="W5458" s="44"/>
      <c r="X5458" s="44"/>
      <c r="Y5458" s="44"/>
    </row>
    <row r="5459" spans="14:25" ht="15" customHeight="1" x14ac:dyDescent="0.25">
      <c r="N5459" s="44"/>
      <c r="O5459" s="44"/>
      <c r="P5459" s="44"/>
      <c r="Q5459" s="44"/>
      <c r="R5459" s="44"/>
      <c r="S5459" s="44"/>
      <c r="T5459" s="44"/>
      <c r="U5459" s="44"/>
      <c r="V5459" s="44"/>
      <c r="W5459" s="44"/>
      <c r="X5459" s="44"/>
      <c r="Y5459" s="44"/>
    </row>
    <row r="5460" spans="14:25" ht="15" customHeight="1" x14ac:dyDescent="0.25">
      <c r="N5460" s="44"/>
      <c r="O5460" s="44"/>
      <c r="P5460" s="44"/>
      <c r="Q5460" s="44"/>
      <c r="R5460" s="44"/>
      <c r="S5460" s="44"/>
      <c r="T5460" s="44"/>
      <c r="U5460" s="44"/>
      <c r="V5460" s="44"/>
      <c r="W5460" s="44"/>
      <c r="X5460" s="44"/>
      <c r="Y5460" s="44"/>
    </row>
    <row r="5461" spans="14:25" ht="15" customHeight="1" x14ac:dyDescent="0.25">
      <c r="N5461" s="44"/>
      <c r="O5461" s="44"/>
      <c r="P5461" s="44"/>
      <c r="Q5461" s="44"/>
      <c r="R5461" s="44"/>
      <c r="S5461" s="44"/>
      <c r="T5461" s="44"/>
      <c r="U5461" s="44"/>
      <c r="V5461" s="44"/>
      <c r="W5461" s="44"/>
      <c r="X5461" s="44"/>
      <c r="Y5461" s="44"/>
    </row>
    <row r="5462" spans="14:25" ht="15" customHeight="1" x14ac:dyDescent="0.25">
      <c r="N5462" s="44"/>
      <c r="O5462" s="44"/>
      <c r="P5462" s="44"/>
      <c r="Q5462" s="44"/>
      <c r="R5462" s="44"/>
      <c r="S5462" s="44"/>
      <c r="T5462" s="44"/>
      <c r="U5462" s="44"/>
      <c r="V5462" s="44"/>
      <c r="W5462" s="44"/>
      <c r="X5462" s="44"/>
      <c r="Y5462" s="44"/>
    </row>
    <row r="5463" spans="14:25" ht="15" customHeight="1" x14ac:dyDescent="0.25">
      <c r="N5463" s="44"/>
      <c r="O5463" s="44"/>
      <c r="P5463" s="44"/>
      <c r="Q5463" s="44"/>
      <c r="R5463" s="44"/>
      <c r="S5463" s="44"/>
      <c r="T5463" s="44"/>
      <c r="U5463" s="44"/>
      <c r="V5463" s="44"/>
      <c r="W5463" s="44"/>
      <c r="X5463" s="44"/>
      <c r="Y5463" s="44"/>
    </row>
    <row r="5464" spans="14:25" ht="15" customHeight="1" x14ac:dyDescent="0.25">
      <c r="N5464" s="44"/>
      <c r="O5464" s="44"/>
      <c r="P5464" s="44"/>
      <c r="Q5464" s="44"/>
      <c r="R5464" s="44"/>
      <c r="S5464" s="44"/>
      <c r="T5464" s="44"/>
      <c r="U5464" s="44"/>
      <c r="V5464" s="44"/>
      <c r="W5464" s="44"/>
      <c r="X5464" s="44"/>
      <c r="Y5464" s="44"/>
    </row>
    <row r="5465" spans="14:25" ht="15" customHeight="1" x14ac:dyDescent="0.25">
      <c r="N5465" s="44"/>
      <c r="O5465" s="44"/>
      <c r="P5465" s="44"/>
      <c r="Q5465" s="44"/>
      <c r="R5465" s="44"/>
      <c r="S5465" s="44"/>
      <c r="T5465" s="44"/>
      <c r="U5465" s="44"/>
      <c r="V5465" s="44"/>
      <c r="W5465" s="44"/>
      <c r="X5465" s="44"/>
      <c r="Y5465" s="44"/>
    </row>
    <row r="5466" spans="14:25" ht="15" customHeight="1" x14ac:dyDescent="0.25">
      <c r="N5466" s="44"/>
      <c r="O5466" s="44"/>
      <c r="P5466" s="44"/>
      <c r="Q5466" s="44"/>
      <c r="R5466" s="44"/>
      <c r="S5466" s="44"/>
      <c r="T5466" s="44"/>
      <c r="U5466" s="44"/>
      <c r="V5466" s="44"/>
      <c r="W5466" s="44"/>
      <c r="X5466" s="44"/>
      <c r="Y5466" s="44"/>
    </row>
    <row r="5467" spans="14:25" ht="15" customHeight="1" x14ac:dyDescent="0.25">
      <c r="N5467" s="44"/>
      <c r="O5467" s="44"/>
      <c r="P5467" s="44"/>
      <c r="Q5467" s="44"/>
      <c r="R5467" s="44"/>
      <c r="S5467" s="44"/>
      <c r="T5467" s="44"/>
      <c r="U5467" s="44"/>
      <c r="V5467" s="44"/>
      <c r="W5467" s="44"/>
      <c r="X5467" s="44"/>
      <c r="Y5467" s="44"/>
    </row>
    <row r="5468" spans="14:25" ht="15" customHeight="1" x14ac:dyDescent="0.25">
      <c r="N5468" s="44"/>
      <c r="O5468" s="44"/>
      <c r="P5468" s="44"/>
      <c r="Q5468" s="44"/>
      <c r="R5468" s="44"/>
      <c r="S5468" s="44"/>
      <c r="T5468" s="44"/>
      <c r="U5468" s="44"/>
      <c r="V5468" s="44"/>
      <c r="W5468" s="44"/>
      <c r="X5468" s="44"/>
      <c r="Y5468" s="44"/>
    </row>
    <row r="5469" spans="14:25" ht="15" customHeight="1" x14ac:dyDescent="0.25">
      <c r="N5469" s="44"/>
      <c r="O5469" s="44"/>
      <c r="P5469" s="44"/>
      <c r="Q5469" s="44"/>
      <c r="R5469" s="44"/>
      <c r="S5469" s="44"/>
      <c r="T5469" s="44"/>
      <c r="U5469" s="44"/>
      <c r="V5469" s="44"/>
      <c r="W5469" s="44"/>
      <c r="X5469" s="44"/>
      <c r="Y5469" s="44"/>
    </row>
    <row r="5470" spans="14:25" ht="15" customHeight="1" x14ac:dyDescent="0.25">
      <c r="N5470" s="44"/>
      <c r="O5470" s="44"/>
      <c r="P5470" s="44"/>
      <c r="Q5470" s="44"/>
      <c r="R5470" s="44"/>
      <c r="S5470" s="44"/>
      <c r="T5470" s="44"/>
      <c r="U5470" s="44"/>
      <c r="V5470" s="44"/>
      <c r="W5470" s="44"/>
      <c r="X5470" s="44"/>
      <c r="Y5470" s="44"/>
    </row>
    <row r="5471" spans="14:25" ht="15" customHeight="1" x14ac:dyDescent="0.25">
      <c r="N5471" s="44"/>
      <c r="O5471" s="44"/>
      <c r="P5471" s="44"/>
      <c r="Q5471" s="44"/>
      <c r="R5471" s="44"/>
      <c r="S5471" s="44"/>
      <c r="T5471" s="44"/>
      <c r="U5471" s="44"/>
      <c r="V5471" s="44"/>
      <c r="W5471" s="44"/>
      <c r="X5471" s="44"/>
      <c r="Y5471" s="44"/>
    </row>
    <row r="5472" spans="14:25" ht="15" customHeight="1" x14ac:dyDescent="0.25">
      <c r="N5472" s="44"/>
      <c r="O5472" s="44"/>
      <c r="P5472" s="44"/>
      <c r="Q5472" s="44"/>
      <c r="R5472" s="44"/>
      <c r="S5472" s="44"/>
      <c r="T5472" s="44"/>
      <c r="U5472" s="44"/>
      <c r="V5472" s="44"/>
      <c r="W5472" s="44"/>
      <c r="X5472" s="44"/>
      <c r="Y5472" s="44"/>
    </row>
    <row r="5473" spans="14:25" ht="15" customHeight="1" x14ac:dyDescent="0.25">
      <c r="N5473" s="44"/>
      <c r="O5473" s="44"/>
      <c r="P5473" s="44"/>
      <c r="Q5473" s="44"/>
      <c r="R5473" s="44"/>
      <c r="S5473" s="44"/>
      <c r="T5473" s="44"/>
      <c r="U5473" s="44"/>
      <c r="V5473" s="44"/>
      <c r="W5473" s="44"/>
      <c r="X5473" s="44"/>
      <c r="Y5473" s="44"/>
    </row>
    <row r="5474" spans="14:25" ht="15" customHeight="1" x14ac:dyDescent="0.25">
      <c r="N5474" s="44"/>
      <c r="O5474" s="44"/>
      <c r="P5474" s="44"/>
      <c r="Q5474" s="44"/>
      <c r="R5474" s="44"/>
      <c r="S5474" s="44"/>
      <c r="T5474" s="44"/>
      <c r="U5474" s="44"/>
      <c r="V5474" s="44"/>
      <c r="W5474" s="44"/>
      <c r="X5474" s="44"/>
      <c r="Y5474" s="44"/>
    </row>
    <row r="5475" spans="14:25" ht="15" customHeight="1" x14ac:dyDescent="0.25">
      <c r="N5475" s="44"/>
      <c r="O5475" s="44"/>
      <c r="P5475" s="44"/>
      <c r="Q5475" s="44"/>
      <c r="R5475" s="44"/>
      <c r="S5475" s="44"/>
      <c r="T5475" s="44"/>
      <c r="U5475" s="44"/>
      <c r="V5475" s="44"/>
      <c r="W5475" s="44"/>
      <c r="X5475" s="44"/>
      <c r="Y5475" s="44"/>
    </row>
    <row r="5476" spans="14:25" ht="15" customHeight="1" x14ac:dyDescent="0.25">
      <c r="N5476" s="44"/>
      <c r="O5476" s="44"/>
      <c r="P5476" s="44"/>
      <c r="Q5476" s="44"/>
      <c r="R5476" s="44"/>
      <c r="S5476" s="44"/>
      <c r="T5476" s="44"/>
      <c r="U5476" s="44"/>
      <c r="V5476" s="44"/>
      <c r="W5476" s="44"/>
      <c r="X5476" s="44"/>
      <c r="Y5476" s="44"/>
    </row>
    <row r="5477" spans="14:25" ht="15" customHeight="1" x14ac:dyDescent="0.25">
      <c r="N5477" s="44"/>
      <c r="O5477" s="44"/>
      <c r="P5477" s="44"/>
      <c r="Q5477" s="44"/>
      <c r="R5477" s="44"/>
      <c r="S5477" s="44"/>
      <c r="T5477" s="44"/>
      <c r="U5477" s="44"/>
      <c r="V5477" s="44"/>
      <c r="W5477" s="44"/>
      <c r="X5477" s="44"/>
      <c r="Y5477" s="44"/>
    </row>
    <row r="5478" spans="14:25" ht="15" customHeight="1" x14ac:dyDescent="0.25">
      <c r="N5478" s="44"/>
      <c r="O5478" s="44"/>
      <c r="P5478" s="44"/>
      <c r="Q5478" s="44"/>
      <c r="R5478" s="44"/>
      <c r="S5478" s="44"/>
      <c r="T5478" s="44"/>
      <c r="U5478" s="44"/>
      <c r="V5478" s="44"/>
      <c r="W5478" s="44"/>
      <c r="X5478" s="44"/>
      <c r="Y5478" s="44"/>
    </row>
    <row r="5479" spans="14:25" ht="15" customHeight="1" x14ac:dyDescent="0.25">
      <c r="N5479" s="44"/>
      <c r="O5479" s="44"/>
      <c r="P5479" s="44"/>
      <c r="Q5479" s="44"/>
      <c r="R5479" s="44"/>
      <c r="S5479" s="44"/>
      <c r="T5479" s="44"/>
      <c r="U5479" s="44"/>
      <c r="V5479" s="44"/>
      <c r="W5479" s="44"/>
      <c r="X5479" s="44"/>
      <c r="Y5479" s="44"/>
    </row>
    <row r="5480" spans="14:25" ht="15" customHeight="1" x14ac:dyDescent="0.25">
      <c r="N5480" s="44"/>
      <c r="O5480" s="44"/>
      <c r="P5480" s="44"/>
      <c r="Q5480" s="44"/>
      <c r="R5480" s="44"/>
      <c r="S5480" s="44"/>
      <c r="T5480" s="44"/>
      <c r="U5480" s="44"/>
      <c r="V5480" s="44"/>
      <c r="W5480" s="44"/>
      <c r="X5480" s="44"/>
      <c r="Y5480" s="44"/>
    </row>
    <row r="5481" spans="14:25" ht="15" customHeight="1" x14ac:dyDescent="0.25">
      <c r="N5481" s="44"/>
      <c r="O5481" s="44"/>
      <c r="P5481" s="44"/>
      <c r="Q5481" s="44"/>
      <c r="R5481" s="44"/>
      <c r="S5481" s="44"/>
      <c r="T5481" s="44"/>
      <c r="U5481" s="44"/>
      <c r="V5481" s="44"/>
      <c r="W5481" s="44"/>
      <c r="X5481" s="44"/>
      <c r="Y5481" s="44"/>
    </row>
    <row r="5482" spans="14:25" ht="15" customHeight="1" x14ac:dyDescent="0.25">
      <c r="N5482" s="44"/>
      <c r="O5482" s="44"/>
      <c r="P5482" s="44"/>
      <c r="Q5482" s="44"/>
      <c r="R5482" s="44"/>
      <c r="S5482" s="44"/>
      <c r="T5482" s="44"/>
      <c r="U5482" s="44"/>
      <c r="V5482" s="44"/>
      <c r="W5482" s="44"/>
      <c r="X5482" s="44"/>
      <c r="Y5482" s="44"/>
    </row>
    <row r="5483" spans="14:25" ht="15" customHeight="1" x14ac:dyDescent="0.25">
      <c r="N5483" s="44"/>
      <c r="O5483" s="44"/>
      <c r="P5483" s="44"/>
      <c r="Q5483" s="44"/>
      <c r="R5483" s="44"/>
      <c r="S5483" s="44"/>
      <c r="T5483" s="44"/>
      <c r="U5483" s="44"/>
      <c r="V5483" s="44"/>
      <c r="W5483" s="44"/>
      <c r="X5483" s="44"/>
      <c r="Y5483" s="44"/>
    </row>
    <row r="5484" spans="14:25" ht="15" customHeight="1" x14ac:dyDescent="0.25">
      <c r="N5484" s="44"/>
      <c r="O5484" s="44"/>
      <c r="P5484" s="44"/>
      <c r="Q5484" s="44"/>
      <c r="R5484" s="44"/>
      <c r="S5484" s="44"/>
      <c r="T5484" s="44"/>
      <c r="U5484" s="44"/>
      <c r="V5484" s="44"/>
      <c r="W5484" s="44"/>
      <c r="X5484" s="44"/>
      <c r="Y5484" s="44"/>
    </row>
    <row r="5485" spans="14:25" ht="15" customHeight="1" x14ac:dyDescent="0.25">
      <c r="N5485" s="44"/>
      <c r="O5485" s="44"/>
      <c r="P5485" s="44"/>
      <c r="Q5485" s="44"/>
      <c r="R5485" s="44"/>
      <c r="S5485" s="44"/>
      <c r="T5485" s="44"/>
      <c r="U5485" s="44"/>
      <c r="V5485" s="44"/>
      <c r="W5485" s="44"/>
      <c r="X5485" s="44"/>
      <c r="Y5485" s="44"/>
    </row>
    <row r="5486" spans="14:25" ht="15" customHeight="1" x14ac:dyDescent="0.25">
      <c r="N5486" s="44"/>
      <c r="O5486" s="44"/>
      <c r="P5486" s="44"/>
      <c r="Q5486" s="44"/>
      <c r="R5486" s="44"/>
      <c r="S5486" s="44"/>
      <c r="T5486" s="44"/>
      <c r="U5486" s="44"/>
      <c r="V5486" s="44"/>
      <c r="W5486" s="44"/>
      <c r="X5486" s="44"/>
      <c r="Y5486" s="44"/>
    </row>
    <row r="5487" spans="14:25" ht="15" customHeight="1" x14ac:dyDescent="0.25">
      <c r="N5487" s="44"/>
      <c r="O5487" s="44"/>
      <c r="P5487" s="44"/>
      <c r="Q5487" s="44"/>
      <c r="R5487" s="44"/>
      <c r="S5487" s="44"/>
      <c r="T5487" s="44"/>
      <c r="U5487" s="44"/>
      <c r="V5487" s="44"/>
      <c r="W5487" s="44"/>
      <c r="X5487" s="44"/>
      <c r="Y5487" s="44"/>
    </row>
    <row r="5488" spans="14:25" ht="15" customHeight="1" x14ac:dyDescent="0.25">
      <c r="N5488" s="44"/>
      <c r="O5488" s="44"/>
      <c r="P5488" s="44"/>
      <c r="Q5488" s="44"/>
      <c r="R5488" s="44"/>
      <c r="S5488" s="44"/>
      <c r="T5488" s="44"/>
      <c r="U5488" s="44"/>
      <c r="V5488" s="44"/>
      <c r="W5488" s="44"/>
      <c r="X5488" s="44"/>
      <c r="Y5488" s="44"/>
    </row>
    <row r="5489" spans="14:25" ht="15" customHeight="1" x14ac:dyDescent="0.25">
      <c r="N5489" s="44"/>
      <c r="O5489" s="44"/>
      <c r="P5489" s="44"/>
      <c r="Q5489" s="44"/>
      <c r="R5489" s="44"/>
      <c r="S5489" s="44"/>
      <c r="T5489" s="44"/>
      <c r="U5489" s="44"/>
      <c r="V5489" s="44"/>
      <c r="W5489" s="44"/>
      <c r="X5489" s="44"/>
      <c r="Y5489" s="44"/>
    </row>
    <row r="5490" spans="14:25" ht="15" customHeight="1" x14ac:dyDescent="0.25">
      <c r="N5490" s="44"/>
      <c r="O5490" s="44"/>
      <c r="P5490" s="44"/>
      <c r="Q5490" s="44"/>
      <c r="R5490" s="44"/>
      <c r="S5490" s="44"/>
      <c r="T5490" s="44"/>
      <c r="U5490" s="44"/>
      <c r="V5490" s="44"/>
      <c r="W5490" s="44"/>
      <c r="X5490" s="44"/>
      <c r="Y5490" s="44"/>
    </row>
    <row r="5491" spans="14:25" ht="15" customHeight="1" x14ac:dyDescent="0.25">
      <c r="N5491" s="44"/>
      <c r="O5491" s="44"/>
      <c r="P5491" s="44"/>
      <c r="Q5491" s="44"/>
      <c r="R5491" s="44"/>
      <c r="S5491" s="44"/>
      <c r="T5491" s="44"/>
      <c r="U5491" s="44"/>
      <c r="V5491" s="44"/>
      <c r="W5491" s="44"/>
      <c r="X5491" s="44"/>
      <c r="Y5491" s="44"/>
    </row>
    <row r="5492" spans="14:25" ht="15" customHeight="1" x14ac:dyDescent="0.25">
      <c r="N5492" s="44"/>
      <c r="O5492" s="44"/>
      <c r="P5492" s="44"/>
      <c r="Q5492" s="44"/>
      <c r="R5492" s="44"/>
      <c r="S5492" s="44"/>
      <c r="T5492" s="44"/>
      <c r="U5492" s="44"/>
      <c r="V5492" s="44"/>
      <c r="W5492" s="44"/>
      <c r="X5492" s="44"/>
      <c r="Y5492" s="44"/>
    </row>
    <row r="5493" spans="14:25" ht="15" customHeight="1" x14ac:dyDescent="0.25">
      <c r="N5493" s="44"/>
      <c r="O5493" s="44"/>
      <c r="P5493" s="44"/>
      <c r="Q5493" s="44"/>
      <c r="R5493" s="44"/>
      <c r="S5493" s="44"/>
      <c r="T5493" s="44"/>
      <c r="U5493" s="44"/>
      <c r="V5493" s="44"/>
      <c r="W5493" s="44"/>
      <c r="X5493" s="44"/>
      <c r="Y5493" s="44"/>
    </row>
    <row r="5494" spans="14:25" ht="15" customHeight="1" x14ac:dyDescent="0.25">
      <c r="N5494" s="44"/>
      <c r="O5494" s="44"/>
      <c r="P5494" s="44"/>
      <c r="Q5494" s="44"/>
      <c r="R5494" s="44"/>
      <c r="S5494" s="44"/>
      <c r="T5494" s="44"/>
      <c r="U5494" s="44"/>
      <c r="V5494" s="44"/>
      <c r="W5494" s="44"/>
      <c r="X5494" s="44"/>
      <c r="Y5494" s="44"/>
    </row>
    <row r="5495" spans="14:25" ht="15" customHeight="1" x14ac:dyDescent="0.25">
      <c r="N5495" s="44"/>
      <c r="O5495" s="44"/>
      <c r="P5495" s="44"/>
      <c r="Q5495" s="44"/>
      <c r="R5495" s="44"/>
      <c r="S5495" s="44"/>
      <c r="T5495" s="44"/>
      <c r="U5495" s="44"/>
      <c r="V5495" s="44"/>
      <c r="W5495" s="44"/>
      <c r="X5495" s="44"/>
      <c r="Y5495" s="44"/>
    </row>
    <row r="5496" spans="14:25" ht="15" customHeight="1" x14ac:dyDescent="0.25">
      <c r="N5496" s="44"/>
      <c r="O5496" s="44"/>
      <c r="P5496" s="44"/>
      <c r="Q5496" s="44"/>
      <c r="R5496" s="44"/>
      <c r="S5496" s="44"/>
      <c r="T5496" s="44"/>
      <c r="U5496" s="44"/>
      <c r="V5496" s="44"/>
      <c r="W5496" s="44"/>
      <c r="X5496" s="44"/>
      <c r="Y5496" s="44"/>
    </row>
    <row r="5497" spans="14:25" ht="15" customHeight="1" x14ac:dyDescent="0.25">
      <c r="N5497" s="44"/>
      <c r="O5497" s="44"/>
      <c r="P5497" s="44"/>
      <c r="Q5497" s="44"/>
      <c r="R5497" s="44"/>
      <c r="S5497" s="44"/>
      <c r="T5497" s="44"/>
      <c r="U5497" s="44"/>
      <c r="V5497" s="44"/>
      <c r="W5497" s="44"/>
      <c r="X5497" s="44"/>
      <c r="Y5497" s="44"/>
    </row>
    <row r="5498" spans="14:25" ht="15" customHeight="1" x14ac:dyDescent="0.25">
      <c r="N5498" s="44"/>
      <c r="O5498" s="44"/>
      <c r="P5498" s="44"/>
      <c r="Q5498" s="44"/>
      <c r="R5498" s="44"/>
      <c r="S5498" s="44"/>
      <c r="T5498" s="44"/>
      <c r="U5498" s="44"/>
      <c r="V5498" s="44"/>
      <c r="W5498" s="44"/>
      <c r="X5498" s="44"/>
      <c r="Y5498" s="44"/>
    </row>
    <row r="5499" spans="14:25" ht="15" customHeight="1" x14ac:dyDescent="0.25">
      <c r="N5499" s="44"/>
      <c r="O5499" s="44"/>
      <c r="P5499" s="44"/>
      <c r="Q5499" s="44"/>
      <c r="R5499" s="44"/>
      <c r="S5499" s="44"/>
      <c r="T5499" s="44"/>
      <c r="U5499" s="44"/>
      <c r="V5499" s="44"/>
      <c r="W5499" s="44"/>
      <c r="X5499" s="44"/>
      <c r="Y5499" s="44"/>
    </row>
    <row r="5500" spans="14:25" ht="15" customHeight="1" x14ac:dyDescent="0.25">
      <c r="N5500" s="44"/>
      <c r="O5500" s="44"/>
      <c r="P5500" s="44"/>
      <c r="Q5500" s="44"/>
      <c r="R5500" s="44"/>
      <c r="S5500" s="44"/>
      <c r="T5500" s="44"/>
      <c r="U5500" s="44"/>
      <c r="V5500" s="44"/>
      <c r="W5500" s="44"/>
      <c r="X5500" s="44"/>
      <c r="Y5500" s="44"/>
    </row>
    <row r="5501" spans="14:25" ht="15" customHeight="1" x14ac:dyDescent="0.25">
      <c r="N5501" s="44"/>
      <c r="O5501" s="44"/>
      <c r="P5501" s="44"/>
      <c r="Q5501" s="44"/>
      <c r="R5501" s="44"/>
      <c r="S5501" s="44"/>
      <c r="T5501" s="44"/>
      <c r="U5501" s="44"/>
      <c r="V5501" s="44"/>
      <c r="W5501" s="44"/>
      <c r="X5501" s="44"/>
      <c r="Y5501" s="44"/>
    </row>
    <row r="5502" spans="14:25" ht="15" customHeight="1" x14ac:dyDescent="0.25">
      <c r="N5502" s="44"/>
      <c r="O5502" s="44"/>
      <c r="P5502" s="44"/>
      <c r="Q5502" s="44"/>
      <c r="R5502" s="44"/>
      <c r="S5502" s="44"/>
      <c r="T5502" s="44"/>
      <c r="U5502" s="44"/>
      <c r="V5502" s="44"/>
      <c r="W5502" s="44"/>
      <c r="X5502" s="44"/>
      <c r="Y5502" s="44"/>
    </row>
    <row r="5503" spans="14:25" ht="15" customHeight="1" x14ac:dyDescent="0.25">
      <c r="N5503" s="44"/>
      <c r="O5503" s="44"/>
      <c r="P5503" s="44"/>
      <c r="Q5503" s="44"/>
      <c r="R5503" s="44"/>
      <c r="S5503" s="44"/>
      <c r="T5503" s="44"/>
      <c r="U5503" s="44"/>
      <c r="V5503" s="44"/>
      <c r="W5503" s="44"/>
      <c r="X5503" s="44"/>
      <c r="Y5503" s="44"/>
    </row>
    <row r="5504" spans="14:25" ht="15" customHeight="1" x14ac:dyDescent="0.25">
      <c r="N5504" s="44"/>
      <c r="O5504" s="44"/>
      <c r="P5504" s="44"/>
      <c r="Q5504" s="44"/>
      <c r="R5504" s="44"/>
      <c r="S5504" s="44"/>
      <c r="T5504" s="44"/>
      <c r="U5504" s="44"/>
      <c r="V5504" s="44"/>
      <c r="W5504" s="44"/>
      <c r="X5504" s="44"/>
      <c r="Y5504" s="44"/>
    </row>
    <row r="5505" spans="14:25" ht="15" customHeight="1" x14ac:dyDescent="0.25">
      <c r="N5505" s="44"/>
      <c r="O5505" s="44"/>
      <c r="P5505" s="44"/>
      <c r="Q5505" s="44"/>
      <c r="R5505" s="44"/>
      <c r="S5505" s="44"/>
      <c r="T5505" s="44"/>
      <c r="U5505" s="44"/>
      <c r="V5505" s="44"/>
      <c r="W5505" s="44"/>
      <c r="X5505" s="44"/>
      <c r="Y5505" s="44"/>
    </row>
    <row r="5506" spans="14:25" ht="15" customHeight="1" x14ac:dyDescent="0.25">
      <c r="N5506" s="44"/>
      <c r="O5506" s="44"/>
      <c r="P5506" s="44"/>
      <c r="Q5506" s="44"/>
      <c r="R5506" s="44"/>
      <c r="S5506" s="44"/>
      <c r="T5506" s="44"/>
      <c r="U5506" s="44"/>
      <c r="V5506" s="44"/>
      <c r="W5506" s="44"/>
      <c r="X5506" s="44"/>
      <c r="Y5506" s="44"/>
    </row>
    <row r="5507" spans="14:25" ht="15" customHeight="1" x14ac:dyDescent="0.25">
      <c r="N5507" s="44"/>
      <c r="O5507" s="44"/>
      <c r="P5507" s="44"/>
      <c r="Q5507" s="44"/>
      <c r="R5507" s="44"/>
      <c r="S5507" s="44"/>
      <c r="T5507" s="44"/>
      <c r="U5507" s="44"/>
      <c r="V5507" s="44"/>
      <c r="W5507" s="44"/>
      <c r="X5507" s="44"/>
      <c r="Y5507" s="44"/>
    </row>
    <row r="5508" spans="14:25" ht="15" customHeight="1" x14ac:dyDescent="0.25">
      <c r="N5508" s="44"/>
      <c r="O5508" s="44"/>
      <c r="P5508" s="44"/>
      <c r="Q5508" s="44"/>
      <c r="R5508" s="44"/>
      <c r="S5508" s="44"/>
      <c r="T5508" s="44"/>
      <c r="U5508" s="44"/>
      <c r="V5508" s="44"/>
      <c r="W5508" s="44"/>
      <c r="X5508" s="44"/>
      <c r="Y5508" s="44"/>
    </row>
    <row r="5509" spans="14:25" ht="15" customHeight="1" x14ac:dyDescent="0.25">
      <c r="N5509" s="44"/>
      <c r="O5509" s="44"/>
      <c r="P5509" s="44"/>
      <c r="Q5509" s="44"/>
      <c r="R5509" s="44"/>
      <c r="S5509" s="44"/>
      <c r="T5509" s="44"/>
      <c r="U5509" s="44"/>
      <c r="V5509" s="44"/>
      <c r="W5509" s="44"/>
      <c r="X5509" s="44"/>
      <c r="Y5509" s="44"/>
    </row>
    <row r="5510" spans="14:25" ht="15" customHeight="1" x14ac:dyDescent="0.25">
      <c r="N5510" s="44"/>
      <c r="O5510" s="44"/>
      <c r="P5510" s="44"/>
      <c r="Q5510" s="44"/>
      <c r="R5510" s="44"/>
      <c r="S5510" s="44"/>
      <c r="T5510" s="44"/>
      <c r="U5510" s="44"/>
      <c r="V5510" s="44"/>
      <c r="W5510" s="44"/>
      <c r="X5510" s="44"/>
      <c r="Y5510" s="44"/>
    </row>
    <row r="5511" spans="14:25" ht="15" customHeight="1" x14ac:dyDescent="0.25">
      <c r="N5511" s="44"/>
      <c r="O5511" s="44"/>
      <c r="P5511" s="44"/>
      <c r="Q5511" s="44"/>
      <c r="R5511" s="44"/>
      <c r="S5511" s="44"/>
      <c r="T5511" s="44"/>
      <c r="U5511" s="44"/>
      <c r="V5511" s="44"/>
      <c r="W5511" s="44"/>
      <c r="X5511" s="44"/>
      <c r="Y5511" s="44"/>
    </row>
    <row r="5512" spans="14:25" ht="15" customHeight="1" x14ac:dyDescent="0.25">
      <c r="N5512" s="44"/>
      <c r="O5512" s="44"/>
      <c r="P5512" s="44"/>
      <c r="Q5512" s="44"/>
      <c r="R5512" s="44"/>
      <c r="S5512" s="44"/>
      <c r="T5512" s="44"/>
      <c r="U5512" s="44"/>
      <c r="V5512" s="44"/>
      <c r="W5512" s="44"/>
      <c r="X5512" s="44"/>
      <c r="Y5512" s="44"/>
    </row>
    <row r="5513" spans="14:25" ht="15" customHeight="1" x14ac:dyDescent="0.25">
      <c r="N5513" s="44"/>
      <c r="O5513" s="44"/>
      <c r="P5513" s="44"/>
      <c r="Q5513" s="44"/>
      <c r="R5513" s="44"/>
      <c r="S5513" s="44"/>
      <c r="T5513" s="44"/>
      <c r="U5513" s="44"/>
      <c r="V5513" s="44"/>
      <c r="W5513" s="44"/>
      <c r="X5513" s="44"/>
      <c r="Y5513" s="44"/>
    </row>
    <row r="5514" spans="14:25" ht="15" customHeight="1" x14ac:dyDescent="0.25">
      <c r="N5514" s="44"/>
      <c r="O5514" s="44"/>
      <c r="P5514" s="44"/>
      <c r="Q5514" s="44"/>
      <c r="R5514" s="44"/>
      <c r="S5514" s="44"/>
      <c r="T5514" s="44"/>
      <c r="U5514" s="44"/>
      <c r="V5514" s="44"/>
      <c r="W5514" s="44"/>
      <c r="X5514" s="44"/>
      <c r="Y5514" s="44"/>
    </row>
    <row r="5515" spans="14:25" ht="15" customHeight="1" x14ac:dyDescent="0.25">
      <c r="N5515" s="44"/>
      <c r="O5515" s="44"/>
      <c r="P5515" s="44"/>
      <c r="Q5515" s="44"/>
      <c r="R5515" s="44"/>
      <c r="S5515" s="44"/>
      <c r="T5515" s="44"/>
      <c r="U5515" s="44"/>
      <c r="V5515" s="44"/>
      <c r="W5515" s="44"/>
      <c r="X5515" s="44"/>
      <c r="Y5515" s="44"/>
    </row>
    <row r="5516" spans="14:25" ht="15" customHeight="1" x14ac:dyDescent="0.25">
      <c r="N5516" s="44"/>
      <c r="O5516" s="44"/>
      <c r="P5516" s="44"/>
      <c r="Q5516" s="44"/>
      <c r="R5516" s="44"/>
      <c r="S5516" s="44"/>
      <c r="T5516" s="44"/>
      <c r="U5516" s="44"/>
      <c r="V5516" s="44"/>
      <c r="W5516" s="44"/>
      <c r="X5516" s="44"/>
      <c r="Y5516" s="44"/>
    </row>
    <row r="5517" spans="14:25" ht="15" customHeight="1" x14ac:dyDescent="0.25">
      <c r="N5517" s="44"/>
      <c r="O5517" s="44"/>
      <c r="P5517" s="44"/>
      <c r="Q5517" s="44"/>
      <c r="R5517" s="44"/>
      <c r="S5517" s="44"/>
      <c r="T5517" s="44"/>
      <c r="U5517" s="44"/>
      <c r="V5517" s="44"/>
      <c r="W5517" s="44"/>
      <c r="X5517" s="44"/>
      <c r="Y5517" s="44"/>
    </row>
    <row r="5518" spans="14:25" ht="15" customHeight="1" x14ac:dyDescent="0.25">
      <c r="N5518" s="44"/>
      <c r="O5518" s="44"/>
      <c r="P5518" s="44"/>
      <c r="Q5518" s="44"/>
      <c r="R5518" s="44"/>
      <c r="S5518" s="44"/>
      <c r="T5518" s="44"/>
      <c r="U5518" s="44"/>
      <c r="V5518" s="44"/>
      <c r="W5518" s="44"/>
      <c r="X5518" s="44"/>
      <c r="Y5518" s="44"/>
    </row>
    <row r="5519" spans="14:25" ht="15" customHeight="1" x14ac:dyDescent="0.25">
      <c r="N5519" s="44"/>
      <c r="O5519" s="44"/>
      <c r="P5519" s="44"/>
      <c r="Q5519" s="44"/>
      <c r="R5519" s="44"/>
      <c r="S5519" s="44"/>
      <c r="T5519" s="44"/>
      <c r="U5519" s="44"/>
      <c r="V5519" s="44"/>
      <c r="W5519" s="44"/>
      <c r="X5519" s="44"/>
      <c r="Y5519" s="44"/>
    </row>
    <row r="5520" spans="14:25" ht="15" customHeight="1" x14ac:dyDescent="0.25">
      <c r="N5520" s="44"/>
      <c r="O5520" s="44"/>
      <c r="P5520" s="44"/>
      <c r="Q5520" s="44"/>
      <c r="R5520" s="44"/>
      <c r="S5520" s="44"/>
      <c r="T5520" s="44"/>
      <c r="U5520" s="44"/>
      <c r="V5520" s="44"/>
      <c r="W5520" s="44"/>
      <c r="X5520" s="44"/>
      <c r="Y5520" s="44"/>
    </row>
    <row r="5521" spans="14:25" ht="15" customHeight="1" x14ac:dyDescent="0.25">
      <c r="N5521" s="44"/>
      <c r="O5521" s="44"/>
      <c r="P5521" s="44"/>
      <c r="Q5521" s="44"/>
      <c r="R5521" s="44"/>
      <c r="S5521" s="44"/>
      <c r="T5521" s="44"/>
      <c r="U5521" s="44"/>
      <c r="V5521" s="44"/>
      <c r="W5521" s="44"/>
      <c r="X5521" s="44"/>
      <c r="Y5521" s="44"/>
    </row>
    <row r="5522" spans="14:25" ht="15" customHeight="1" x14ac:dyDescent="0.25">
      <c r="N5522" s="44"/>
      <c r="O5522" s="44"/>
      <c r="P5522" s="44"/>
      <c r="Q5522" s="44"/>
      <c r="R5522" s="44"/>
      <c r="S5522" s="44"/>
      <c r="T5522" s="44"/>
      <c r="U5522" s="44"/>
      <c r="V5522" s="44"/>
      <c r="W5522" s="44"/>
      <c r="X5522" s="44"/>
      <c r="Y5522" s="44"/>
    </row>
    <row r="5523" spans="14:25" ht="15" customHeight="1" x14ac:dyDescent="0.25">
      <c r="N5523" s="44"/>
      <c r="O5523" s="44"/>
      <c r="P5523" s="44"/>
      <c r="Q5523" s="44"/>
      <c r="R5523" s="44"/>
      <c r="S5523" s="44"/>
      <c r="T5523" s="44"/>
      <c r="U5523" s="44"/>
      <c r="V5523" s="44"/>
      <c r="W5523" s="44"/>
      <c r="X5523" s="44"/>
      <c r="Y5523" s="44"/>
    </row>
    <row r="5524" spans="14:25" ht="15" customHeight="1" x14ac:dyDescent="0.25">
      <c r="N5524" s="44"/>
      <c r="O5524" s="44"/>
      <c r="P5524" s="44"/>
      <c r="Q5524" s="44"/>
      <c r="R5524" s="44"/>
      <c r="S5524" s="44"/>
      <c r="T5524" s="44"/>
      <c r="U5524" s="44"/>
      <c r="V5524" s="44"/>
      <c r="W5524" s="44"/>
      <c r="X5524" s="44"/>
      <c r="Y5524" s="44"/>
    </row>
    <row r="5525" spans="14:25" ht="15" customHeight="1" x14ac:dyDescent="0.25">
      <c r="N5525" s="44"/>
      <c r="O5525" s="44"/>
      <c r="P5525" s="44"/>
      <c r="Q5525" s="44"/>
      <c r="R5525" s="44"/>
      <c r="S5525" s="44"/>
      <c r="T5525" s="44"/>
      <c r="U5525" s="44"/>
      <c r="V5525" s="44"/>
      <c r="W5525" s="44"/>
      <c r="X5525" s="44"/>
      <c r="Y5525" s="44"/>
    </row>
    <row r="5526" spans="14:25" ht="15" customHeight="1" x14ac:dyDescent="0.25">
      <c r="N5526" s="44"/>
      <c r="O5526" s="44"/>
      <c r="P5526" s="44"/>
      <c r="Q5526" s="44"/>
      <c r="R5526" s="44"/>
      <c r="S5526" s="44"/>
      <c r="T5526" s="44"/>
      <c r="U5526" s="44"/>
      <c r="V5526" s="44"/>
      <c r="W5526" s="44"/>
      <c r="X5526" s="44"/>
      <c r="Y5526" s="44"/>
    </row>
    <row r="5527" spans="14:25" ht="15" customHeight="1" x14ac:dyDescent="0.25">
      <c r="N5527" s="44"/>
      <c r="O5527" s="44"/>
      <c r="P5527" s="44"/>
      <c r="Q5527" s="44"/>
      <c r="R5527" s="44"/>
      <c r="S5527" s="44"/>
      <c r="T5527" s="44"/>
      <c r="U5527" s="44"/>
      <c r="V5527" s="44"/>
      <c r="W5527" s="44"/>
      <c r="X5527" s="44"/>
      <c r="Y5527" s="44"/>
    </row>
    <row r="5528" spans="14:25" ht="15" customHeight="1" x14ac:dyDescent="0.25">
      <c r="N5528" s="44"/>
      <c r="O5528" s="44"/>
      <c r="P5528" s="44"/>
      <c r="Q5528" s="44"/>
      <c r="R5528" s="44"/>
      <c r="S5528" s="44"/>
      <c r="T5528" s="44"/>
      <c r="U5528" s="44"/>
      <c r="V5528" s="44"/>
      <c r="W5528" s="44"/>
      <c r="X5528" s="44"/>
      <c r="Y5528" s="44"/>
    </row>
    <row r="5529" spans="14:25" ht="15" customHeight="1" x14ac:dyDescent="0.25">
      <c r="N5529" s="44"/>
      <c r="O5529" s="44"/>
      <c r="P5529" s="44"/>
      <c r="Q5529" s="44"/>
      <c r="R5529" s="44"/>
      <c r="S5529" s="44"/>
      <c r="T5529" s="44"/>
      <c r="U5529" s="44"/>
      <c r="V5529" s="44"/>
      <c r="W5529" s="44"/>
      <c r="X5529" s="44"/>
      <c r="Y5529" s="44"/>
    </row>
    <row r="5530" spans="14:25" ht="15" customHeight="1" x14ac:dyDescent="0.25">
      <c r="N5530" s="44"/>
      <c r="O5530" s="44"/>
      <c r="P5530" s="44"/>
      <c r="Q5530" s="44"/>
      <c r="R5530" s="44"/>
      <c r="S5530" s="44"/>
      <c r="T5530" s="44"/>
      <c r="U5530" s="44"/>
      <c r="V5530" s="44"/>
      <c r="W5530" s="44"/>
      <c r="X5530" s="44"/>
      <c r="Y5530" s="44"/>
    </row>
    <row r="5531" spans="14:25" ht="15" customHeight="1" x14ac:dyDescent="0.25">
      <c r="N5531" s="44"/>
      <c r="O5531" s="44"/>
      <c r="P5531" s="44"/>
      <c r="Q5531" s="44"/>
      <c r="R5531" s="44"/>
      <c r="S5531" s="44"/>
      <c r="T5531" s="44"/>
      <c r="U5531" s="44"/>
      <c r="V5531" s="44"/>
      <c r="W5531" s="44"/>
      <c r="X5531" s="44"/>
      <c r="Y5531" s="44"/>
    </row>
    <row r="5532" spans="14:25" ht="15" customHeight="1" x14ac:dyDescent="0.25">
      <c r="N5532" s="44"/>
      <c r="O5532" s="44"/>
      <c r="P5532" s="44"/>
      <c r="Q5532" s="44"/>
      <c r="R5532" s="44"/>
      <c r="S5532" s="44"/>
      <c r="T5532" s="44"/>
      <c r="U5532" s="44"/>
      <c r="V5532" s="44"/>
      <c r="W5532" s="44"/>
      <c r="X5532" s="44"/>
      <c r="Y5532" s="44"/>
    </row>
    <row r="5533" spans="14:25" ht="15" customHeight="1" x14ac:dyDescent="0.25">
      <c r="N5533" s="44"/>
      <c r="O5533" s="44"/>
      <c r="P5533" s="44"/>
      <c r="Q5533" s="44"/>
      <c r="R5533" s="44"/>
      <c r="S5533" s="44"/>
      <c r="T5533" s="44"/>
      <c r="U5533" s="44"/>
      <c r="V5533" s="44"/>
      <c r="W5533" s="44"/>
      <c r="X5533" s="44"/>
      <c r="Y5533" s="44"/>
    </row>
    <row r="5534" spans="14:25" ht="15" customHeight="1" x14ac:dyDescent="0.25">
      <c r="N5534" s="44"/>
      <c r="O5534" s="44"/>
      <c r="P5534" s="44"/>
      <c r="Q5534" s="44"/>
      <c r="R5534" s="44"/>
      <c r="S5534" s="44"/>
      <c r="T5534" s="44"/>
      <c r="U5534" s="44"/>
      <c r="V5534" s="44"/>
      <c r="W5534" s="44"/>
      <c r="X5534" s="44"/>
      <c r="Y5534" s="44"/>
    </row>
    <row r="5535" spans="14:25" ht="15" customHeight="1" x14ac:dyDescent="0.25">
      <c r="N5535" s="44"/>
      <c r="O5535" s="44"/>
      <c r="P5535" s="44"/>
      <c r="Q5535" s="44"/>
      <c r="R5535" s="44"/>
      <c r="S5535" s="44"/>
      <c r="T5535" s="44"/>
      <c r="U5535" s="44"/>
      <c r="V5535" s="44"/>
      <c r="W5535" s="44"/>
      <c r="X5535" s="44"/>
      <c r="Y5535" s="44"/>
    </row>
    <row r="5536" spans="14:25" ht="15" customHeight="1" x14ac:dyDescent="0.25">
      <c r="N5536" s="44"/>
      <c r="O5536" s="44"/>
      <c r="P5536" s="44"/>
      <c r="Q5536" s="44"/>
      <c r="R5536" s="44"/>
      <c r="S5536" s="44"/>
      <c r="T5536" s="44"/>
      <c r="U5536" s="44"/>
      <c r="V5536" s="44"/>
      <c r="W5536" s="44"/>
      <c r="X5536" s="44"/>
      <c r="Y5536" s="44"/>
    </row>
    <row r="5537" spans="14:25" ht="15" customHeight="1" x14ac:dyDescent="0.25">
      <c r="N5537" s="44"/>
      <c r="O5537" s="44"/>
      <c r="P5537" s="44"/>
      <c r="Q5537" s="44"/>
      <c r="R5537" s="44"/>
      <c r="S5537" s="44"/>
      <c r="T5537" s="44"/>
      <c r="U5537" s="44"/>
      <c r="V5537" s="44"/>
      <c r="W5537" s="44"/>
      <c r="X5537" s="44"/>
      <c r="Y5537" s="44"/>
    </row>
    <row r="5538" spans="14:25" ht="15" customHeight="1" x14ac:dyDescent="0.25">
      <c r="N5538" s="44"/>
      <c r="O5538" s="44"/>
      <c r="P5538" s="44"/>
      <c r="Q5538" s="44"/>
      <c r="R5538" s="44"/>
      <c r="S5538" s="44"/>
      <c r="T5538" s="44"/>
      <c r="U5538" s="44"/>
      <c r="V5538" s="44"/>
      <c r="W5538" s="44"/>
      <c r="X5538" s="44"/>
      <c r="Y5538" s="44"/>
    </row>
    <row r="5539" spans="14:25" ht="15" customHeight="1" x14ac:dyDescent="0.25">
      <c r="N5539" s="44"/>
      <c r="O5539" s="44"/>
      <c r="P5539" s="44"/>
      <c r="Q5539" s="44"/>
      <c r="R5539" s="44"/>
      <c r="S5539" s="44"/>
      <c r="T5539" s="44"/>
      <c r="U5539" s="44"/>
      <c r="V5539" s="44"/>
      <c r="W5539" s="44"/>
      <c r="X5539" s="44"/>
      <c r="Y5539" s="44"/>
    </row>
    <row r="5540" spans="14:25" ht="15" customHeight="1" x14ac:dyDescent="0.25">
      <c r="N5540" s="44"/>
      <c r="O5540" s="44"/>
      <c r="P5540" s="44"/>
      <c r="Q5540" s="44"/>
      <c r="R5540" s="44"/>
      <c r="S5540" s="44"/>
      <c r="T5540" s="44"/>
      <c r="U5540" s="44"/>
      <c r="V5540" s="44"/>
      <c r="W5540" s="44"/>
      <c r="X5540" s="44"/>
      <c r="Y5540" s="44"/>
    </row>
    <row r="5541" spans="14:25" ht="15" customHeight="1" x14ac:dyDescent="0.25">
      <c r="N5541" s="44"/>
      <c r="O5541" s="44"/>
      <c r="P5541" s="44"/>
      <c r="Q5541" s="44"/>
      <c r="R5541" s="44"/>
      <c r="S5541" s="44"/>
      <c r="T5541" s="44"/>
      <c r="U5541" s="44"/>
      <c r="V5541" s="44"/>
      <c r="W5541" s="44"/>
      <c r="X5541" s="44"/>
      <c r="Y5541" s="44"/>
    </row>
    <row r="5542" spans="14:25" ht="15" customHeight="1" x14ac:dyDescent="0.25">
      <c r="N5542" s="44"/>
      <c r="O5542" s="44"/>
      <c r="P5542" s="44"/>
      <c r="Q5542" s="44"/>
      <c r="R5542" s="44"/>
      <c r="S5542" s="44"/>
      <c r="T5542" s="44"/>
      <c r="U5542" s="44"/>
      <c r="V5542" s="44"/>
      <c r="W5542" s="44"/>
      <c r="X5542" s="44"/>
      <c r="Y5542" s="44"/>
    </row>
    <row r="5543" spans="14:25" ht="15" customHeight="1" x14ac:dyDescent="0.25">
      <c r="N5543" s="44"/>
      <c r="O5543" s="44"/>
      <c r="P5543" s="44"/>
      <c r="Q5543" s="44"/>
      <c r="R5543" s="44"/>
      <c r="S5543" s="44"/>
      <c r="T5543" s="44"/>
      <c r="U5543" s="44"/>
      <c r="V5543" s="44"/>
      <c r="W5543" s="44"/>
      <c r="X5543" s="44"/>
      <c r="Y5543" s="44"/>
    </row>
    <row r="5544" spans="14:25" ht="15" customHeight="1" x14ac:dyDescent="0.25">
      <c r="N5544" s="44"/>
      <c r="O5544" s="44"/>
      <c r="P5544" s="44"/>
      <c r="Q5544" s="44"/>
      <c r="R5544" s="44"/>
      <c r="S5544" s="44"/>
      <c r="T5544" s="44"/>
      <c r="U5544" s="44"/>
      <c r="V5544" s="44"/>
      <c r="W5544" s="44"/>
      <c r="X5544" s="44"/>
      <c r="Y5544" s="44"/>
    </row>
    <row r="5545" spans="14:25" ht="15" customHeight="1" x14ac:dyDescent="0.25">
      <c r="N5545" s="44"/>
      <c r="O5545" s="44"/>
      <c r="P5545" s="44"/>
      <c r="Q5545" s="44"/>
      <c r="R5545" s="44"/>
      <c r="S5545" s="44"/>
      <c r="T5545" s="44"/>
      <c r="U5545" s="44"/>
      <c r="V5545" s="44"/>
      <c r="W5545" s="44"/>
      <c r="X5545" s="44"/>
      <c r="Y5545" s="44"/>
    </row>
    <row r="5546" spans="14:25" ht="15" customHeight="1" x14ac:dyDescent="0.25">
      <c r="N5546" s="44"/>
      <c r="O5546" s="44"/>
      <c r="P5546" s="44"/>
      <c r="Q5546" s="44"/>
      <c r="R5546" s="44"/>
      <c r="S5546" s="44"/>
      <c r="T5546" s="44"/>
      <c r="U5546" s="44"/>
      <c r="V5546" s="44"/>
      <c r="W5546" s="44"/>
      <c r="X5546" s="44"/>
      <c r="Y5546" s="44"/>
    </row>
    <row r="5547" spans="14:25" ht="15" customHeight="1" x14ac:dyDescent="0.25">
      <c r="N5547" s="44"/>
      <c r="O5547" s="44"/>
      <c r="P5547" s="44"/>
      <c r="Q5547" s="44"/>
      <c r="R5547" s="44"/>
      <c r="S5547" s="44"/>
      <c r="T5547" s="44"/>
      <c r="U5547" s="44"/>
      <c r="V5547" s="44"/>
      <c r="W5547" s="44"/>
      <c r="X5547" s="44"/>
      <c r="Y5547" s="44"/>
    </row>
    <row r="5548" spans="14:25" ht="15" customHeight="1" x14ac:dyDescent="0.25">
      <c r="N5548" s="44"/>
      <c r="O5548" s="44"/>
      <c r="P5548" s="44"/>
      <c r="Q5548" s="44"/>
      <c r="R5548" s="44"/>
      <c r="S5548" s="44"/>
      <c r="T5548" s="44"/>
      <c r="U5548" s="44"/>
      <c r="V5548" s="44"/>
      <c r="W5548" s="44"/>
      <c r="X5548" s="44"/>
      <c r="Y5548" s="44"/>
    </row>
    <row r="5549" spans="14:25" ht="15" customHeight="1" x14ac:dyDescent="0.25">
      <c r="N5549" s="44"/>
      <c r="O5549" s="44"/>
      <c r="P5549" s="44"/>
      <c r="Q5549" s="44"/>
      <c r="R5549" s="44"/>
      <c r="S5549" s="44"/>
      <c r="T5549" s="44"/>
      <c r="U5549" s="44"/>
      <c r="V5549" s="44"/>
      <c r="W5549" s="44"/>
      <c r="X5549" s="44"/>
      <c r="Y5549" s="44"/>
    </row>
    <row r="5550" spans="14:25" ht="15" customHeight="1" x14ac:dyDescent="0.25">
      <c r="N5550" s="44"/>
      <c r="O5550" s="44"/>
      <c r="P5550" s="44"/>
      <c r="Q5550" s="44"/>
      <c r="R5550" s="44"/>
      <c r="S5550" s="44"/>
      <c r="T5550" s="44"/>
      <c r="U5550" s="44"/>
      <c r="V5550" s="44"/>
      <c r="W5550" s="44"/>
      <c r="X5550" s="44"/>
      <c r="Y5550" s="44"/>
    </row>
    <row r="5551" spans="14:25" ht="15" customHeight="1" x14ac:dyDescent="0.25">
      <c r="N5551" s="44"/>
      <c r="O5551" s="44"/>
      <c r="P5551" s="44"/>
      <c r="Q5551" s="44"/>
      <c r="R5551" s="44"/>
      <c r="S5551" s="44"/>
      <c r="T5551" s="44"/>
      <c r="U5551" s="44"/>
      <c r="V5551" s="44"/>
      <c r="W5551" s="44"/>
      <c r="X5551" s="44"/>
      <c r="Y5551" s="44"/>
    </row>
    <row r="5552" spans="14:25" ht="15" customHeight="1" x14ac:dyDescent="0.25">
      <c r="N5552" s="44"/>
      <c r="O5552" s="44"/>
      <c r="P5552" s="44"/>
      <c r="Q5552" s="44"/>
      <c r="R5552" s="44"/>
      <c r="S5552" s="44"/>
      <c r="T5552" s="44"/>
      <c r="U5552" s="44"/>
      <c r="V5552" s="44"/>
      <c r="W5552" s="44"/>
      <c r="X5552" s="44"/>
      <c r="Y5552" s="44"/>
    </row>
    <row r="5553" spans="14:25" ht="15" customHeight="1" x14ac:dyDescent="0.25">
      <c r="N5553" s="44"/>
      <c r="O5553" s="44"/>
      <c r="P5553" s="44"/>
      <c r="Q5553" s="44"/>
      <c r="R5553" s="44"/>
      <c r="S5553" s="44"/>
      <c r="T5553" s="44"/>
      <c r="U5553" s="44"/>
      <c r="V5553" s="44"/>
      <c r="W5553" s="44"/>
      <c r="X5553" s="44"/>
      <c r="Y5553" s="44"/>
    </row>
    <row r="5554" spans="14:25" ht="15" customHeight="1" x14ac:dyDescent="0.25">
      <c r="N5554" s="44"/>
      <c r="O5554" s="44"/>
      <c r="P5554" s="44"/>
      <c r="Q5554" s="44"/>
      <c r="R5554" s="44"/>
      <c r="S5554" s="44"/>
      <c r="T5554" s="44"/>
      <c r="U5554" s="44"/>
      <c r="V5554" s="44"/>
      <c r="W5554" s="44"/>
      <c r="X5554" s="44"/>
      <c r="Y5554" s="44"/>
    </row>
    <row r="5555" spans="14:25" ht="15" customHeight="1" x14ac:dyDescent="0.25">
      <c r="N5555" s="44"/>
      <c r="O5555" s="44"/>
      <c r="P5555" s="44"/>
      <c r="Q5555" s="44"/>
      <c r="R5555" s="44"/>
      <c r="S5555" s="44"/>
      <c r="T5555" s="44"/>
      <c r="U5555" s="44"/>
      <c r="V5555" s="44"/>
      <c r="W5555" s="44"/>
      <c r="X5555" s="44"/>
      <c r="Y5555" s="44"/>
    </row>
    <row r="5556" spans="14:25" ht="15" customHeight="1" x14ac:dyDescent="0.25">
      <c r="N5556" s="44"/>
      <c r="O5556" s="44"/>
      <c r="P5556" s="44"/>
      <c r="Q5556" s="44"/>
      <c r="R5556" s="44"/>
      <c r="S5556" s="44"/>
      <c r="T5556" s="44"/>
      <c r="U5556" s="44"/>
      <c r="V5556" s="44"/>
      <c r="W5556" s="44"/>
      <c r="X5556" s="44"/>
      <c r="Y5556" s="44"/>
    </row>
    <row r="5557" spans="14:25" ht="15" customHeight="1" x14ac:dyDescent="0.25">
      <c r="N5557" s="44"/>
      <c r="O5557" s="44"/>
      <c r="P5557" s="44"/>
      <c r="Q5557" s="44"/>
      <c r="R5557" s="44"/>
      <c r="S5557" s="44"/>
      <c r="T5557" s="44"/>
      <c r="U5557" s="44"/>
      <c r="V5557" s="44"/>
      <c r="W5557" s="44"/>
      <c r="X5557" s="44"/>
      <c r="Y5557" s="44"/>
    </row>
    <row r="5558" spans="14:25" ht="15" customHeight="1" x14ac:dyDescent="0.25">
      <c r="N5558" s="44"/>
      <c r="O5558" s="44"/>
      <c r="P5558" s="44"/>
      <c r="Q5558" s="44"/>
      <c r="R5558" s="44"/>
      <c r="S5558" s="44"/>
      <c r="T5558" s="44"/>
      <c r="U5558" s="44"/>
      <c r="V5558" s="44"/>
      <c r="W5558" s="44"/>
      <c r="X5558" s="44"/>
      <c r="Y5558" s="44"/>
    </row>
    <row r="5559" spans="14:25" ht="15" customHeight="1" x14ac:dyDescent="0.25">
      <c r="N5559" s="44"/>
      <c r="O5559" s="44"/>
      <c r="P5559" s="44"/>
      <c r="Q5559" s="44"/>
      <c r="R5559" s="44"/>
      <c r="S5559" s="44"/>
      <c r="T5559" s="44"/>
      <c r="U5559" s="44"/>
      <c r="V5559" s="44"/>
      <c r="W5559" s="44"/>
      <c r="X5559" s="44"/>
      <c r="Y5559" s="44"/>
    </row>
    <row r="5560" spans="14:25" ht="15" customHeight="1" x14ac:dyDescent="0.25">
      <c r="N5560" s="44"/>
      <c r="O5560" s="44"/>
      <c r="P5560" s="44"/>
      <c r="Q5560" s="44"/>
      <c r="R5560" s="44"/>
      <c r="S5560" s="44"/>
      <c r="T5560" s="44"/>
      <c r="U5560" s="44"/>
      <c r="V5560" s="44"/>
      <c r="W5560" s="44"/>
      <c r="X5560" s="44"/>
      <c r="Y5560" s="44"/>
    </row>
    <row r="5561" spans="14:25" ht="15" customHeight="1" x14ac:dyDescent="0.25">
      <c r="N5561" s="44"/>
      <c r="O5561" s="44"/>
      <c r="P5561" s="44"/>
      <c r="Q5561" s="44"/>
      <c r="R5561" s="44"/>
      <c r="S5561" s="44"/>
      <c r="T5561" s="44"/>
      <c r="U5561" s="44"/>
      <c r="V5561" s="44"/>
      <c r="W5561" s="44"/>
      <c r="X5561" s="44"/>
      <c r="Y5561" s="44"/>
    </row>
    <row r="5562" spans="14:25" ht="15" customHeight="1" x14ac:dyDescent="0.25">
      <c r="N5562" s="44"/>
      <c r="O5562" s="44"/>
      <c r="P5562" s="44"/>
      <c r="Q5562" s="44"/>
      <c r="R5562" s="44"/>
      <c r="S5562" s="44"/>
      <c r="T5562" s="44"/>
      <c r="U5562" s="44"/>
      <c r="V5562" s="44"/>
      <c r="W5562" s="44"/>
      <c r="X5562" s="44"/>
      <c r="Y5562" s="44"/>
    </row>
    <row r="5563" spans="14:25" ht="15" customHeight="1" x14ac:dyDescent="0.25">
      <c r="N5563" s="44"/>
      <c r="O5563" s="44"/>
      <c r="P5563" s="44"/>
      <c r="Q5563" s="44"/>
      <c r="R5563" s="44"/>
      <c r="S5563" s="44"/>
      <c r="T5563" s="44"/>
      <c r="U5563" s="44"/>
      <c r="V5563" s="44"/>
      <c r="W5563" s="44"/>
      <c r="X5563" s="44"/>
      <c r="Y5563" s="44"/>
    </row>
    <row r="5564" spans="14:25" ht="15" customHeight="1" x14ac:dyDescent="0.25">
      <c r="N5564" s="44"/>
      <c r="O5564" s="44"/>
      <c r="P5564" s="44"/>
      <c r="Q5564" s="44"/>
      <c r="R5564" s="44"/>
      <c r="S5564" s="44"/>
      <c r="T5564" s="44"/>
      <c r="U5564" s="44"/>
      <c r="V5564" s="44"/>
      <c r="W5564" s="44"/>
      <c r="X5564" s="44"/>
      <c r="Y5564" s="44"/>
    </row>
    <row r="5565" spans="14:25" ht="15" customHeight="1" x14ac:dyDescent="0.25">
      <c r="N5565" s="44"/>
      <c r="O5565" s="44"/>
      <c r="P5565" s="44"/>
      <c r="Q5565" s="44"/>
      <c r="R5565" s="44"/>
      <c r="S5565" s="44"/>
      <c r="T5565" s="44"/>
      <c r="U5565" s="44"/>
      <c r="V5565" s="44"/>
      <c r="W5565" s="44"/>
      <c r="X5565" s="44"/>
      <c r="Y5565" s="44"/>
    </row>
    <row r="5566" spans="14:25" ht="15" customHeight="1" x14ac:dyDescent="0.25">
      <c r="N5566" s="44"/>
      <c r="O5566" s="44"/>
      <c r="P5566" s="44"/>
      <c r="Q5566" s="44"/>
      <c r="R5566" s="44"/>
      <c r="S5566" s="44"/>
      <c r="T5566" s="44"/>
      <c r="U5566" s="44"/>
      <c r="V5566" s="44"/>
      <c r="W5566" s="44"/>
      <c r="X5566" s="44"/>
      <c r="Y5566" s="44"/>
    </row>
    <row r="5567" spans="14:25" ht="15" customHeight="1" x14ac:dyDescent="0.25">
      <c r="N5567" s="44"/>
      <c r="O5567" s="44"/>
      <c r="P5567" s="44"/>
      <c r="Q5567" s="44"/>
      <c r="R5567" s="44"/>
      <c r="S5567" s="44"/>
      <c r="T5567" s="44"/>
      <c r="U5567" s="44"/>
      <c r="V5567" s="44"/>
      <c r="W5567" s="44"/>
      <c r="X5567" s="44"/>
      <c r="Y5567" s="44"/>
    </row>
    <row r="5568" spans="14:25" ht="15" customHeight="1" x14ac:dyDescent="0.25">
      <c r="N5568" s="44"/>
      <c r="O5568" s="44"/>
      <c r="P5568" s="44"/>
      <c r="Q5568" s="44"/>
      <c r="R5568" s="44"/>
      <c r="S5568" s="44"/>
      <c r="T5568" s="44"/>
      <c r="U5568" s="44"/>
      <c r="V5568" s="44"/>
      <c r="W5568" s="44"/>
      <c r="X5568" s="44"/>
      <c r="Y5568" s="44"/>
    </row>
    <row r="5569" spans="14:25" ht="15" customHeight="1" x14ac:dyDescent="0.25">
      <c r="N5569" s="44"/>
      <c r="O5569" s="44"/>
      <c r="P5569" s="44"/>
      <c r="Q5569" s="44"/>
      <c r="R5569" s="44"/>
      <c r="S5569" s="44"/>
      <c r="T5569" s="44"/>
      <c r="U5569" s="44"/>
      <c r="V5569" s="44"/>
      <c r="W5569" s="44"/>
      <c r="X5569" s="44"/>
      <c r="Y5569" s="44"/>
    </row>
    <row r="5570" spans="14:25" ht="15" customHeight="1" x14ac:dyDescent="0.25">
      <c r="N5570" s="44"/>
      <c r="O5570" s="44"/>
      <c r="P5570" s="44"/>
      <c r="Q5570" s="44"/>
      <c r="R5570" s="44"/>
      <c r="S5570" s="44"/>
      <c r="T5570" s="44"/>
      <c r="U5570" s="44"/>
      <c r="V5570" s="44"/>
      <c r="W5570" s="44"/>
      <c r="X5570" s="44"/>
      <c r="Y5570" s="44"/>
    </row>
    <row r="5571" spans="14:25" ht="15" customHeight="1" x14ac:dyDescent="0.25">
      <c r="N5571" s="44"/>
      <c r="O5571" s="44"/>
      <c r="P5571" s="44"/>
      <c r="Q5571" s="44"/>
      <c r="R5571" s="44"/>
      <c r="S5571" s="44"/>
      <c r="T5571" s="44"/>
      <c r="U5571" s="44"/>
      <c r="V5571" s="44"/>
      <c r="W5571" s="44"/>
      <c r="X5571" s="44"/>
      <c r="Y5571" s="44"/>
    </row>
    <row r="5572" spans="14:25" ht="15" customHeight="1" x14ac:dyDescent="0.25">
      <c r="N5572" s="44"/>
      <c r="O5572" s="44"/>
      <c r="P5572" s="44"/>
      <c r="Q5572" s="44"/>
      <c r="R5572" s="44"/>
      <c r="S5572" s="44"/>
      <c r="T5572" s="44"/>
      <c r="U5572" s="44"/>
      <c r="V5572" s="44"/>
      <c r="W5572" s="44"/>
      <c r="X5572" s="44"/>
      <c r="Y5572" s="44"/>
    </row>
    <row r="5573" spans="14:25" ht="15" customHeight="1" x14ac:dyDescent="0.25">
      <c r="N5573" s="44"/>
      <c r="O5573" s="44"/>
      <c r="P5573" s="44"/>
      <c r="Q5573" s="44"/>
      <c r="R5573" s="44"/>
      <c r="S5573" s="44"/>
      <c r="T5573" s="44"/>
      <c r="U5573" s="44"/>
      <c r="V5573" s="44"/>
      <c r="W5573" s="44"/>
      <c r="X5573" s="44"/>
      <c r="Y5573" s="44"/>
    </row>
    <row r="5574" spans="14:25" ht="15" customHeight="1" x14ac:dyDescent="0.25">
      <c r="N5574" s="44"/>
      <c r="O5574" s="44"/>
      <c r="P5574" s="44"/>
      <c r="Q5574" s="44"/>
      <c r="R5574" s="44"/>
      <c r="S5574" s="44"/>
      <c r="T5574" s="44"/>
      <c r="U5574" s="44"/>
      <c r="V5574" s="44"/>
      <c r="W5574" s="44"/>
      <c r="X5574" s="44"/>
      <c r="Y5574" s="44"/>
    </row>
    <row r="5575" spans="14:25" ht="15" customHeight="1" x14ac:dyDescent="0.25">
      <c r="N5575" s="44"/>
      <c r="O5575" s="44"/>
      <c r="P5575" s="44"/>
      <c r="Q5575" s="44"/>
      <c r="R5575" s="44"/>
      <c r="S5575" s="44"/>
      <c r="T5575" s="44"/>
      <c r="U5575" s="44"/>
      <c r="V5575" s="44"/>
      <c r="W5575" s="44"/>
      <c r="X5575" s="44"/>
      <c r="Y5575" s="44"/>
    </row>
    <row r="5576" spans="14:25" ht="15" customHeight="1" x14ac:dyDescent="0.25">
      <c r="N5576" s="44"/>
      <c r="O5576" s="44"/>
      <c r="P5576" s="44"/>
      <c r="Q5576" s="44"/>
      <c r="R5576" s="44"/>
      <c r="S5576" s="44"/>
      <c r="T5576" s="44"/>
      <c r="U5576" s="44"/>
      <c r="V5576" s="44"/>
      <c r="W5576" s="44"/>
      <c r="X5576" s="44"/>
      <c r="Y5576" s="44"/>
    </row>
    <row r="5577" spans="14:25" ht="15" customHeight="1" x14ac:dyDescent="0.25">
      <c r="N5577" s="44"/>
      <c r="O5577" s="44"/>
      <c r="P5577" s="44"/>
      <c r="Q5577" s="44"/>
      <c r="R5577" s="44"/>
      <c r="S5577" s="44"/>
      <c r="T5577" s="44"/>
      <c r="U5577" s="44"/>
      <c r="V5577" s="44"/>
      <c r="W5577" s="44"/>
      <c r="X5577" s="44"/>
      <c r="Y5577" s="44"/>
    </row>
    <row r="5578" spans="14:25" ht="15" customHeight="1" x14ac:dyDescent="0.25">
      <c r="N5578" s="44"/>
      <c r="O5578" s="44"/>
      <c r="P5578" s="44"/>
      <c r="Q5578" s="44"/>
      <c r="R5578" s="44"/>
      <c r="S5578" s="44"/>
      <c r="T5578" s="44"/>
      <c r="U5578" s="44"/>
      <c r="V5578" s="44"/>
      <c r="W5578" s="44"/>
      <c r="X5578" s="44"/>
      <c r="Y5578" s="44"/>
    </row>
    <row r="5579" spans="14:25" ht="15" customHeight="1" x14ac:dyDescent="0.25">
      <c r="N5579" s="44"/>
      <c r="O5579" s="44"/>
      <c r="P5579" s="44"/>
      <c r="Q5579" s="44"/>
      <c r="R5579" s="44"/>
      <c r="S5579" s="44"/>
      <c r="T5579" s="44"/>
      <c r="U5579" s="44"/>
      <c r="V5579" s="44"/>
      <c r="W5579" s="44"/>
      <c r="X5579" s="44"/>
      <c r="Y5579" s="44"/>
    </row>
    <row r="5580" spans="14:25" ht="15" customHeight="1" x14ac:dyDescent="0.25">
      <c r="N5580" s="44"/>
      <c r="O5580" s="44"/>
      <c r="P5580" s="44"/>
      <c r="Q5580" s="44"/>
      <c r="R5580" s="44"/>
      <c r="S5580" s="44"/>
      <c r="T5580" s="44"/>
      <c r="U5580" s="44"/>
      <c r="V5580" s="44"/>
      <c r="W5580" s="44"/>
      <c r="X5580" s="44"/>
      <c r="Y5580" s="44"/>
    </row>
    <row r="5581" spans="14:25" ht="15" customHeight="1" x14ac:dyDescent="0.25">
      <c r="N5581" s="44"/>
      <c r="O5581" s="44"/>
      <c r="P5581" s="44"/>
      <c r="Q5581" s="44"/>
      <c r="R5581" s="44"/>
      <c r="S5581" s="44"/>
      <c r="T5581" s="44"/>
      <c r="U5581" s="44"/>
      <c r="V5581" s="44"/>
      <c r="W5581" s="44"/>
      <c r="X5581" s="44"/>
      <c r="Y5581" s="44"/>
    </row>
    <row r="5582" spans="14:25" ht="15" customHeight="1" x14ac:dyDescent="0.25">
      <c r="N5582" s="44"/>
      <c r="O5582" s="44"/>
      <c r="P5582" s="44"/>
      <c r="Q5582" s="44"/>
      <c r="R5582" s="44"/>
      <c r="S5582" s="44"/>
      <c r="T5582" s="44"/>
      <c r="U5582" s="44"/>
      <c r="V5582" s="44"/>
      <c r="W5582" s="44"/>
      <c r="X5582" s="44"/>
      <c r="Y5582" s="44"/>
    </row>
    <row r="5583" spans="14:25" ht="15" customHeight="1" x14ac:dyDescent="0.25">
      <c r="N5583" s="44"/>
      <c r="O5583" s="44"/>
      <c r="P5583" s="44"/>
      <c r="Q5583" s="44"/>
      <c r="R5583" s="44"/>
      <c r="S5583" s="44"/>
      <c r="T5583" s="44"/>
      <c r="U5583" s="44"/>
      <c r="V5583" s="44"/>
      <c r="W5583" s="44"/>
      <c r="X5583" s="44"/>
      <c r="Y5583" s="44"/>
    </row>
    <row r="5584" spans="14:25" ht="15" customHeight="1" x14ac:dyDescent="0.25">
      <c r="N5584" s="44"/>
      <c r="O5584" s="44"/>
      <c r="P5584" s="44"/>
      <c r="Q5584" s="44"/>
      <c r="R5584" s="44"/>
      <c r="S5584" s="44"/>
      <c r="T5584" s="44"/>
      <c r="U5584" s="44"/>
      <c r="V5584" s="44"/>
      <c r="W5584" s="44"/>
      <c r="X5584" s="44"/>
      <c r="Y5584" s="44"/>
    </row>
    <row r="5585" spans="14:25" ht="15" customHeight="1" x14ac:dyDescent="0.25">
      <c r="N5585" s="44"/>
      <c r="O5585" s="44"/>
      <c r="P5585" s="44"/>
      <c r="Q5585" s="44"/>
      <c r="R5585" s="44"/>
      <c r="S5585" s="44"/>
      <c r="T5585" s="44"/>
      <c r="U5585" s="44"/>
      <c r="V5585" s="44"/>
      <c r="W5585" s="44"/>
      <c r="X5585" s="44"/>
      <c r="Y5585" s="44"/>
    </row>
    <row r="5586" spans="14:25" ht="15" customHeight="1" x14ac:dyDescent="0.25">
      <c r="N5586" s="44"/>
      <c r="O5586" s="44"/>
      <c r="P5586" s="44"/>
      <c r="Q5586" s="44"/>
      <c r="R5586" s="44"/>
      <c r="S5586" s="44"/>
      <c r="T5586" s="44"/>
      <c r="U5586" s="44"/>
      <c r="V5586" s="44"/>
      <c r="W5586" s="44"/>
      <c r="X5586" s="44"/>
      <c r="Y5586" s="44"/>
    </row>
    <row r="5587" spans="14:25" ht="15" customHeight="1" x14ac:dyDescent="0.25">
      <c r="N5587" s="44"/>
      <c r="O5587" s="44"/>
      <c r="P5587" s="44"/>
      <c r="Q5587" s="44"/>
      <c r="R5587" s="44"/>
      <c r="S5587" s="44"/>
      <c r="T5587" s="44"/>
      <c r="U5587" s="44"/>
      <c r="V5587" s="44"/>
      <c r="W5587" s="44"/>
      <c r="X5587" s="44"/>
      <c r="Y5587" s="44"/>
    </row>
    <row r="5588" spans="14:25" ht="15" customHeight="1" x14ac:dyDescent="0.25">
      <c r="N5588" s="44"/>
      <c r="O5588" s="44"/>
      <c r="P5588" s="44"/>
      <c r="Q5588" s="44"/>
      <c r="R5588" s="44"/>
      <c r="S5588" s="44"/>
      <c r="T5588" s="44"/>
      <c r="U5588" s="44"/>
      <c r="V5588" s="44"/>
      <c r="W5588" s="44"/>
      <c r="X5588" s="44"/>
      <c r="Y5588" s="44"/>
    </row>
    <row r="5589" spans="14:25" ht="15" customHeight="1" x14ac:dyDescent="0.25">
      <c r="N5589" s="44"/>
      <c r="O5589" s="44"/>
      <c r="P5589" s="44"/>
      <c r="Q5589" s="44"/>
      <c r="R5589" s="44"/>
      <c r="S5589" s="44"/>
      <c r="T5589" s="44"/>
      <c r="U5589" s="44"/>
      <c r="V5589" s="44"/>
      <c r="W5589" s="44"/>
      <c r="X5589" s="44"/>
      <c r="Y5589" s="44"/>
    </row>
    <row r="5590" spans="14:25" ht="15" customHeight="1" x14ac:dyDescent="0.25">
      <c r="N5590" s="44"/>
      <c r="O5590" s="44"/>
      <c r="P5590" s="44"/>
      <c r="Q5590" s="44"/>
      <c r="R5590" s="44"/>
      <c r="S5590" s="44"/>
      <c r="T5590" s="44"/>
      <c r="U5590" s="44"/>
      <c r="V5590" s="44"/>
      <c r="W5590" s="44"/>
      <c r="X5590" s="44"/>
      <c r="Y5590" s="44"/>
    </row>
    <row r="5591" spans="14:25" ht="15" customHeight="1" x14ac:dyDescent="0.25">
      <c r="N5591" s="44"/>
      <c r="O5591" s="44"/>
      <c r="P5591" s="44"/>
      <c r="Q5591" s="44"/>
      <c r="R5591" s="44"/>
      <c r="S5591" s="44"/>
      <c r="T5591" s="44"/>
      <c r="U5591" s="44"/>
      <c r="V5591" s="44"/>
      <c r="W5591" s="44"/>
      <c r="X5591" s="44"/>
      <c r="Y5591" s="44"/>
    </row>
    <row r="5592" spans="14:25" ht="15" customHeight="1" x14ac:dyDescent="0.25">
      <c r="N5592" s="44"/>
      <c r="O5592" s="44"/>
      <c r="P5592" s="44"/>
      <c r="Q5592" s="44"/>
      <c r="R5592" s="44"/>
      <c r="S5592" s="44"/>
      <c r="T5592" s="44"/>
      <c r="U5592" s="44"/>
      <c r="V5592" s="44"/>
      <c r="W5592" s="44"/>
      <c r="X5592" s="44"/>
      <c r="Y5592" s="44"/>
    </row>
    <row r="5593" spans="14:25" ht="15" customHeight="1" x14ac:dyDescent="0.25">
      <c r="N5593" s="44"/>
      <c r="O5593" s="44"/>
      <c r="P5593" s="44"/>
      <c r="Q5593" s="44"/>
      <c r="R5593" s="44"/>
      <c r="S5593" s="44"/>
      <c r="T5593" s="44"/>
      <c r="U5593" s="44"/>
      <c r="V5593" s="44"/>
      <c r="W5593" s="44"/>
      <c r="X5593" s="44"/>
      <c r="Y5593" s="44"/>
    </row>
    <row r="5594" spans="14:25" ht="15" customHeight="1" x14ac:dyDescent="0.25">
      <c r="N5594" s="44"/>
      <c r="O5594" s="44"/>
      <c r="P5594" s="44"/>
      <c r="Q5594" s="44"/>
      <c r="R5594" s="44"/>
      <c r="S5594" s="44"/>
      <c r="T5594" s="44"/>
      <c r="U5594" s="44"/>
      <c r="V5594" s="44"/>
      <c r="W5594" s="44"/>
      <c r="X5594" s="44"/>
      <c r="Y5594" s="44"/>
    </row>
    <row r="5595" spans="14:25" ht="15" customHeight="1" x14ac:dyDescent="0.25">
      <c r="N5595" s="44"/>
      <c r="O5595" s="44"/>
      <c r="P5595" s="44"/>
      <c r="Q5595" s="44"/>
      <c r="R5595" s="44"/>
      <c r="S5595" s="44"/>
      <c r="T5595" s="44"/>
      <c r="U5595" s="44"/>
      <c r="V5595" s="44"/>
      <c r="W5595" s="44"/>
      <c r="X5595" s="44"/>
      <c r="Y5595" s="44"/>
    </row>
    <row r="5596" spans="14:25" ht="15" customHeight="1" x14ac:dyDescent="0.25">
      <c r="N5596" s="44"/>
      <c r="O5596" s="44"/>
      <c r="P5596" s="44"/>
      <c r="Q5596" s="44"/>
      <c r="R5596" s="44"/>
      <c r="S5596" s="44"/>
      <c r="T5596" s="44"/>
      <c r="U5596" s="44"/>
      <c r="V5596" s="44"/>
      <c r="W5596" s="44"/>
      <c r="X5596" s="44"/>
      <c r="Y5596" s="44"/>
    </row>
    <row r="5597" spans="14:25" ht="15" customHeight="1" x14ac:dyDescent="0.25">
      <c r="N5597" s="44"/>
      <c r="O5597" s="44"/>
      <c r="P5597" s="44"/>
      <c r="Q5597" s="44"/>
      <c r="R5597" s="44"/>
      <c r="S5597" s="44"/>
      <c r="T5597" s="44"/>
      <c r="U5597" s="44"/>
      <c r="V5597" s="44"/>
      <c r="W5597" s="44"/>
      <c r="X5597" s="44"/>
      <c r="Y5597" s="44"/>
    </row>
    <row r="5598" spans="14:25" ht="15" customHeight="1" x14ac:dyDescent="0.25">
      <c r="N5598" s="44"/>
      <c r="O5598" s="44"/>
      <c r="P5598" s="44"/>
      <c r="Q5598" s="44"/>
      <c r="R5598" s="44"/>
      <c r="S5598" s="44"/>
      <c r="T5598" s="44"/>
      <c r="U5598" s="44"/>
      <c r="V5598" s="44"/>
      <c r="W5598" s="44"/>
      <c r="X5598" s="44"/>
      <c r="Y5598" s="44"/>
    </row>
    <row r="5599" spans="14:25" ht="15" customHeight="1" x14ac:dyDescent="0.25">
      <c r="N5599" s="44"/>
      <c r="O5599" s="44"/>
      <c r="P5599" s="44"/>
      <c r="Q5599" s="44"/>
      <c r="R5599" s="44"/>
      <c r="S5599" s="44"/>
      <c r="T5599" s="44"/>
      <c r="U5599" s="44"/>
      <c r="V5599" s="44"/>
      <c r="W5599" s="44"/>
      <c r="X5599" s="44"/>
      <c r="Y5599" s="44"/>
    </row>
    <row r="5600" spans="14:25" ht="15" customHeight="1" x14ac:dyDescent="0.25">
      <c r="N5600" s="44"/>
      <c r="O5600" s="44"/>
      <c r="P5600" s="44"/>
      <c r="Q5600" s="44"/>
      <c r="R5600" s="44"/>
      <c r="S5600" s="44"/>
      <c r="T5600" s="44"/>
      <c r="U5600" s="44"/>
      <c r="V5600" s="44"/>
      <c r="W5600" s="44"/>
      <c r="X5600" s="44"/>
      <c r="Y5600" s="44"/>
    </row>
    <row r="5601" spans="14:25" ht="15" customHeight="1" x14ac:dyDescent="0.25">
      <c r="N5601" s="44"/>
      <c r="O5601" s="44"/>
      <c r="P5601" s="44"/>
      <c r="Q5601" s="44"/>
      <c r="R5601" s="44"/>
      <c r="S5601" s="44"/>
      <c r="T5601" s="44"/>
      <c r="U5601" s="44"/>
      <c r="V5601" s="44"/>
      <c r="W5601" s="44"/>
      <c r="X5601" s="44"/>
      <c r="Y5601" s="44"/>
    </row>
    <row r="5602" spans="14:25" ht="15" customHeight="1" x14ac:dyDescent="0.25">
      <c r="N5602" s="44"/>
      <c r="O5602" s="44"/>
      <c r="P5602" s="44"/>
      <c r="Q5602" s="44"/>
      <c r="R5602" s="44"/>
      <c r="S5602" s="44"/>
      <c r="T5602" s="44"/>
      <c r="U5602" s="44"/>
      <c r="V5602" s="44"/>
      <c r="W5602" s="44"/>
      <c r="X5602" s="44"/>
      <c r="Y5602" s="44"/>
    </row>
    <row r="5603" spans="14:25" ht="15" customHeight="1" x14ac:dyDescent="0.25">
      <c r="N5603" s="44"/>
      <c r="O5603" s="44"/>
      <c r="P5603" s="44"/>
      <c r="Q5603" s="44"/>
      <c r="R5603" s="44"/>
      <c r="S5603" s="44"/>
      <c r="T5603" s="44"/>
      <c r="U5603" s="44"/>
      <c r="V5603" s="44"/>
      <c r="W5603" s="44"/>
      <c r="X5603" s="44"/>
      <c r="Y5603" s="44"/>
    </row>
    <row r="5604" spans="14:25" ht="15" customHeight="1" x14ac:dyDescent="0.25">
      <c r="N5604" s="44"/>
      <c r="O5604" s="44"/>
      <c r="P5604" s="44"/>
      <c r="Q5604" s="44"/>
      <c r="R5604" s="44"/>
      <c r="S5604" s="44"/>
      <c r="T5604" s="44"/>
      <c r="U5604" s="44"/>
      <c r="V5604" s="44"/>
      <c r="W5604" s="44"/>
      <c r="X5604" s="44"/>
      <c r="Y5604" s="44"/>
    </row>
    <row r="5605" spans="14:25" ht="15" customHeight="1" x14ac:dyDescent="0.25">
      <c r="N5605" s="44"/>
      <c r="O5605" s="44"/>
      <c r="P5605" s="44"/>
      <c r="Q5605" s="44"/>
      <c r="R5605" s="44"/>
      <c r="S5605" s="44"/>
      <c r="T5605" s="44"/>
      <c r="U5605" s="44"/>
      <c r="V5605" s="44"/>
      <c r="W5605" s="44"/>
      <c r="X5605" s="44"/>
      <c r="Y5605" s="44"/>
    </row>
    <row r="5606" spans="14:25" ht="15" customHeight="1" x14ac:dyDescent="0.25">
      <c r="N5606" s="44"/>
      <c r="O5606" s="44"/>
      <c r="P5606" s="44"/>
      <c r="Q5606" s="44"/>
      <c r="R5606" s="44"/>
      <c r="S5606" s="44"/>
      <c r="T5606" s="44"/>
      <c r="U5606" s="44"/>
      <c r="V5606" s="44"/>
      <c r="W5606" s="44"/>
      <c r="X5606" s="44"/>
      <c r="Y5606" s="44"/>
    </row>
    <row r="5607" spans="14:25" ht="15" customHeight="1" x14ac:dyDescent="0.25">
      <c r="N5607" s="44"/>
      <c r="O5607" s="44"/>
      <c r="P5607" s="44"/>
      <c r="Q5607" s="44"/>
      <c r="R5607" s="44"/>
      <c r="S5607" s="44"/>
      <c r="T5607" s="44"/>
      <c r="U5607" s="44"/>
      <c r="V5607" s="44"/>
      <c r="W5607" s="44"/>
      <c r="X5607" s="44"/>
      <c r="Y5607" s="44"/>
    </row>
    <row r="5608" spans="14:25" ht="15" customHeight="1" x14ac:dyDescent="0.25">
      <c r="N5608" s="44"/>
      <c r="O5608" s="44"/>
      <c r="P5608" s="44"/>
      <c r="Q5608" s="44"/>
      <c r="R5608" s="44"/>
      <c r="S5608" s="44"/>
      <c r="T5608" s="44"/>
      <c r="U5608" s="44"/>
      <c r="V5608" s="44"/>
      <c r="W5608" s="44"/>
      <c r="X5608" s="44"/>
      <c r="Y5608" s="44"/>
    </row>
    <row r="5609" spans="14:25" ht="15" customHeight="1" x14ac:dyDescent="0.25">
      <c r="N5609" s="44"/>
      <c r="O5609" s="44"/>
      <c r="P5609" s="44"/>
      <c r="Q5609" s="44"/>
      <c r="R5609" s="44"/>
      <c r="S5609" s="44"/>
      <c r="T5609" s="44"/>
      <c r="U5609" s="44"/>
      <c r="V5609" s="44"/>
      <c r="W5609" s="44"/>
      <c r="X5609" s="44"/>
      <c r="Y5609" s="44"/>
    </row>
    <row r="5610" spans="14:25" ht="15" customHeight="1" x14ac:dyDescent="0.25">
      <c r="N5610" s="44"/>
      <c r="O5610" s="44"/>
      <c r="P5610" s="44"/>
      <c r="Q5610" s="44"/>
      <c r="R5610" s="44"/>
      <c r="S5610" s="44"/>
      <c r="T5610" s="44"/>
      <c r="U5610" s="44"/>
      <c r="V5610" s="44"/>
      <c r="W5610" s="44"/>
      <c r="X5610" s="44"/>
      <c r="Y5610" s="44"/>
    </row>
    <row r="5611" spans="14:25" ht="15" customHeight="1" x14ac:dyDescent="0.25">
      <c r="N5611" s="44"/>
      <c r="O5611" s="44"/>
      <c r="P5611" s="44"/>
      <c r="Q5611" s="44"/>
      <c r="R5611" s="44"/>
      <c r="S5611" s="44"/>
      <c r="T5611" s="44"/>
      <c r="U5611" s="44"/>
      <c r="V5611" s="44"/>
      <c r="W5611" s="44"/>
      <c r="X5611" s="44"/>
      <c r="Y5611" s="44"/>
    </row>
    <row r="5612" spans="14:25" ht="15" customHeight="1" x14ac:dyDescent="0.25">
      <c r="N5612" s="44"/>
      <c r="O5612" s="44"/>
      <c r="P5612" s="44"/>
      <c r="Q5612" s="44"/>
      <c r="R5612" s="44"/>
      <c r="S5612" s="44"/>
      <c r="T5612" s="44"/>
      <c r="U5612" s="44"/>
      <c r="V5612" s="44"/>
      <c r="W5612" s="44"/>
      <c r="X5612" s="44"/>
      <c r="Y5612" s="44"/>
    </row>
    <row r="5613" spans="14:25" ht="15" customHeight="1" x14ac:dyDescent="0.25">
      <c r="N5613" s="44"/>
      <c r="O5613" s="44"/>
      <c r="P5613" s="44"/>
      <c r="Q5613" s="44"/>
      <c r="R5613" s="44"/>
      <c r="S5613" s="44"/>
      <c r="T5613" s="44"/>
      <c r="U5613" s="44"/>
      <c r="V5613" s="44"/>
      <c r="W5613" s="44"/>
      <c r="X5613" s="44"/>
      <c r="Y5613" s="44"/>
    </row>
    <row r="5614" spans="14:25" ht="15" customHeight="1" x14ac:dyDescent="0.25">
      <c r="N5614" s="44"/>
      <c r="O5614" s="44"/>
      <c r="P5614" s="44"/>
      <c r="Q5614" s="44"/>
      <c r="R5614" s="44"/>
      <c r="S5614" s="44"/>
      <c r="T5614" s="44"/>
      <c r="U5614" s="44"/>
      <c r="V5614" s="44"/>
      <c r="W5614" s="44"/>
      <c r="X5614" s="44"/>
      <c r="Y5614" s="44"/>
    </row>
    <row r="5615" spans="14:25" ht="15" customHeight="1" x14ac:dyDescent="0.25">
      <c r="N5615" s="44"/>
      <c r="O5615" s="44"/>
      <c r="P5615" s="44"/>
      <c r="Q5615" s="44"/>
      <c r="R5615" s="44"/>
      <c r="S5615" s="44"/>
      <c r="T5615" s="44"/>
      <c r="U5615" s="44"/>
      <c r="V5615" s="44"/>
      <c r="W5615" s="44"/>
      <c r="X5615" s="44"/>
      <c r="Y5615" s="44"/>
    </row>
    <row r="5616" spans="14:25" ht="15" customHeight="1" x14ac:dyDescent="0.25">
      <c r="N5616" s="44"/>
      <c r="O5616" s="44"/>
      <c r="P5616" s="44"/>
      <c r="Q5616" s="44"/>
      <c r="R5616" s="44"/>
      <c r="S5616" s="44"/>
      <c r="T5616" s="44"/>
      <c r="U5616" s="44"/>
      <c r="V5616" s="44"/>
      <c r="W5616" s="44"/>
      <c r="X5616" s="44"/>
      <c r="Y5616" s="44"/>
    </row>
    <row r="5617" spans="14:25" ht="15" customHeight="1" x14ac:dyDescent="0.25">
      <c r="N5617" s="44"/>
      <c r="O5617" s="44"/>
      <c r="P5617" s="44"/>
      <c r="Q5617" s="44"/>
      <c r="R5617" s="44"/>
      <c r="S5617" s="44"/>
      <c r="T5617" s="44"/>
      <c r="U5617" s="44"/>
      <c r="V5617" s="44"/>
      <c r="W5617" s="44"/>
      <c r="X5617" s="44"/>
      <c r="Y5617" s="44"/>
    </row>
    <row r="5618" spans="14:25" ht="15" customHeight="1" x14ac:dyDescent="0.25">
      <c r="N5618" s="44"/>
      <c r="O5618" s="44"/>
      <c r="P5618" s="44"/>
      <c r="Q5618" s="44"/>
      <c r="R5618" s="44"/>
      <c r="S5618" s="44"/>
      <c r="T5618" s="44"/>
      <c r="U5618" s="44"/>
      <c r="V5618" s="44"/>
      <c r="W5618" s="44"/>
      <c r="X5618" s="44"/>
      <c r="Y5618" s="44"/>
    </row>
    <row r="5619" spans="14:25" ht="15" customHeight="1" x14ac:dyDescent="0.25">
      <c r="N5619" s="44"/>
      <c r="O5619" s="44"/>
      <c r="P5619" s="44"/>
      <c r="Q5619" s="44"/>
      <c r="R5619" s="44"/>
      <c r="S5619" s="44"/>
      <c r="T5619" s="44"/>
      <c r="U5619" s="44"/>
      <c r="V5619" s="44"/>
      <c r="W5619" s="44"/>
      <c r="X5619" s="44"/>
      <c r="Y5619" s="44"/>
    </row>
    <row r="5620" spans="14:25" ht="15" customHeight="1" x14ac:dyDescent="0.25">
      <c r="N5620" s="44"/>
      <c r="O5620" s="44"/>
      <c r="P5620" s="44"/>
      <c r="Q5620" s="44"/>
      <c r="R5620" s="44"/>
      <c r="S5620" s="44"/>
      <c r="T5620" s="44"/>
      <c r="U5620" s="44"/>
      <c r="V5620" s="44"/>
      <c r="W5620" s="44"/>
      <c r="X5620" s="44"/>
      <c r="Y5620" s="44"/>
    </row>
    <row r="5621" spans="14:25" ht="15" customHeight="1" x14ac:dyDescent="0.25">
      <c r="N5621" s="44"/>
      <c r="O5621" s="44"/>
      <c r="P5621" s="44"/>
      <c r="Q5621" s="44"/>
      <c r="R5621" s="44"/>
      <c r="S5621" s="44"/>
      <c r="T5621" s="44"/>
      <c r="U5621" s="44"/>
      <c r="V5621" s="44"/>
      <c r="W5621" s="44"/>
      <c r="X5621" s="44"/>
      <c r="Y5621" s="44"/>
    </row>
    <row r="5622" spans="14:25" ht="15" customHeight="1" x14ac:dyDescent="0.25">
      <c r="N5622" s="44"/>
      <c r="O5622" s="44"/>
      <c r="P5622" s="44"/>
      <c r="Q5622" s="44"/>
      <c r="R5622" s="44"/>
      <c r="S5622" s="44"/>
      <c r="T5622" s="44"/>
      <c r="U5622" s="44"/>
      <c r="V5622" s="44"/>
      <c r="W5622" s="44"/>
      <c r="X5622" s="44"/>
      <c r="Y5622" s="44"/>
    </row>
    <row r="5623" spans="14:25" ht="15" customHeight="1" x14ac:dyDescent="0.25">
      <c r="N5623" s="44"/>
      <c r="O5623" s="44"/>
      <c r="P5623" s="44"/>
      <c r="Q5623" s="44"/>
      <c r="R5623" s="44"/>
      <c r="S5623" s="44"/>
      <c r="T5623" s="44"/>
      <c r="U5623" s="44"/>
      <c r="V5623" s="44"/>
      <c r="W5623" s="44"/>
      <c r="X5623" s="44"/>
      <c r="Y5623" s="44"/>
    </row>
    <row r="5624" spans="14:25" ht="15" customHeight="1" x14ac:dyDescent="0.25">
      <c r="N5624" s="44"/>
      <c r="O5624" s="44"/>
      <c r="P5624" s="44"/>
      <c r="Q5624" s="44"/>
      <c r="R5624" s="44"/>
      <c r="S5624" s="44"/>
      <c r="T5624" s="44"/>
      <c r="U5624" s="44"/>
      <c r="V5624" s="44"/>
      <c r="W5624" s="44"/>
      <c r="X5624" s="44"/>
      <c r="Y5624" s="44"/>
    </row>
    <row r="5625" spans="14:25" ht="15" customHeight="1" x14ac:dyDescent="0.25">
      <c r="N5625" s="44"/>
      <c r="O5625" s="44"/>
      <c r="P5625" s="44"/>
      <c r="Q5625" s="44"/>
      <c r="R5625" s="44"/>
      <c r="S5625" s="44"/>
      <c r="T5625" s="44"/>
      <c r="U5625" s="44"/>
      <c r="V5625" s="44"/>
      <c r="W5625" s="44"/>
      <c r="X5625" s="44"/>
      <c r="Y5625" s="44"/>
    </row>
    <row r="5626" spans="14:25" ht="15" customHeight="1" x14ac:dyDescent="0.25">
      <c r="N5626" s="44"/>
      <c r="O5626" s="44"/>
      <c r="P5626" s="44"/>
      <c r="Q5626" s="44"/>
      <c r="R5626" s="44"/>
      <c r="S5626" s="44"/>
      <c r="T5626" s="44"/>
      <c r="U5626" s="44"/>
      <c r="V5626" s="44"/>
      <c r="W5626" s="44"/>
      <c r="X5626" s="44"/>
      <c r="Y5626" s="44"/>
    </row>
    <row r="5627" spans="14:25" ht="15" customHeight="1" x14ac:dyDescent="0.25">
      <c r="N5627" s="44"/>
      <c r="O5627" s="44"/>
      <c r="P5627" s="44"/>
      <c r="Q5627" s="44"/>
      <c r="R5627" s="44"/>
      <c r="S5627" s="44"/>
      <c r="T5627" s="44"/>
      <c r="U5627" s="44"/>
      <c r="V5627" s="44"/>
      <c r="W5627" s="44"/>
      <c r="X5627" s="44"/>
      <c r="Y5627" s="44"/>
    </row>
    <row r="5628" spans="14:25" ht="15" customHeight="1" x14ac:dyDescent="0.25">
      <c r="N5628" s="44"/>
      <c r="O5628" s="44"/>
      <c r="P5628" s="44"/>
      <c r="Q5628" s="44"/>
      <c r="R5628" s="44"/>
      <c r="S5628" s="44"/>
      <c r="T5628" s="44"/>
      <c r="U5628" s="44"/>
      <c r="V5628" s="44"/>
      <c r="W5628" s="44"/>
      <c r="X5628" s="44"/>
      <c r="Y5628" s="44"/>
    </row>
    <row r="5629" spans="14:25" ht="15" customHeight="1" x14ac:dyDescent="0.25">
      <c r="N5629" s="44"/>
      <c r="O5629" s="44"/>
      <c r="P5629" s="44"/>
      <c r="Q5629" s="44"/>
      <c r="R5629" s="44"/>
      <c r="S5629" s="44"/>
      <c r="T5629" s="44"/>
      <c r="U5629" s="44"/>
      <c r="V5629" s="44"/>
      <c r="W5629" s="44"/>
      <c r="X5629" s="44"/>
      <c r="Y5629" s="44"/>
    </row>
    <row r="5630" spans="14:25" ht="15" customHeight="1" x14ac:dyDescent="0.25">
      <c r="N5630" s="44"/>
      <c r="O5630" s="44"/>
      <c r="P5630" s="44"/>
      <c r="Q5630" s="44"/>
      <c r="R5630" s="44"/>
      <c r="S5630" s="44"/>
      <c r="T5630" s="44"/>
      <c r="U5630" s="44"/>
      <c r="V5630" s="44"/>
      <c r="W5630" s="44"/>
      <c r="X5630" s="44"/>
      <c r="Y5630" s="44"/>
    </row>
    <row r="5631" spans="14:25" ht="15" customHeight="1" x14ac:dyDescent="0.25">
      <c r="N5631" s="44"/>
      <c r="O5631" s="44"/>
      <c r="P5631" s="44"/>
      <c r="Q5631" s="44"/>
      <c r="R5631" s="44"/>
      <c r="S5631" s="44"/>
      <c r="T5631" s="44"/>
      <c r="U5631" s="44"/>
      <c r="V5631" s="44"/>
      <c r="W5631" s="44"/>
      <c r="X5631" s="44"/>
      <c r="Y5631" s="44"/>
    </row>
    <row r="5632" spans="14:25" ht="15" customHeight="1" x14ac:dyDescent="0.25">
      <c r="N5632" s="44"/>
      <c r="O5632" s="44"/>
      <c r="P5632" s="44"/>
      <c r="Q5632" s="44"/>
      <c r="R5632" s="44"/>
      <c r="S5632" s="44"/>
      <c r="T5632" s="44"/>
      <c r="U5632" s="44"/>
      <c r="V5632" s="44"/>
      <c r="W5632" s="44"/>
      <c r="X5632" s="44"/>
      <c r="Y5632" s="44"/>
    </row>
    <row r="5633" spans="14:25" ht="15" customHeight="1" x14ac:dyDescent="0.25">
      <c r="N5633" s="44"/>
      <c r="O5633" s="44"/>
      <c r="P5633" s="44"/>
      <c r="Q5633" s="44"/>
      <c r="R5633" s="44"/>
      <c r="S5633" s="44"/>
      <c r="T5633" s="44"/>
      <c r="U5633" s="44"/>
      <c r="V5633" s="44"/>
      <c r="W5633" s="44"/>
      <c r="X5633" s="44"/>
      <c r="Y5633" s="44"/>
    </row>
    <row r="5634" spans="14:25" ht="15" customHeight="1" x14ac:dyDescent="0.25">
      <c r="N5634" s="44"/>
      <c r="O5634" s="44"/>
      <c r="P5634" s="44"/>
      <c r="Q5634" s="44"/>
      <c r="R5634" s="44"/>
      <c r="S5634" s="44"/>
      <c r="T5634" s="44"/>
      <c r="U5634" s="44"/>
      <c r="V5634" s="44"/>
      <c r="W5634" s="44"/>
      <c r="X5634" s="44"/>
      <c r="Y5634" s="44"/>
    </row>
    <row r="5635" spans="14:25" ht="15" customHeight="1" x14ac:dyDescent="0.25">
      <c r="N5635" s="44"/>
      <c r="O5635" s="44"/>
      <c r="P5635" s="44"/>
      <c r="Q5635" s="44"/>
      <c r="R5635" s="44"/>
      <c r="S5635" s="44"/>
      <c r="T5635" s="44"/>
      <c r="U5635" s="44"/>
      <c r="V5635" s="44"/>
      <c r="W5635" s="44"/>
      <c r="X5635" s="44"/>
      <c r="Y5635" s="44"/>
    </row>
    <row r="5636" spans="14:25" ht="15" customHeight="1" x14ac:dyDescent="0.25">
      <c r="N5636" s="44"/>
      <c r="O5636" s="44"/>
      <c r="P5636" s="44"/>
      <c r="Q5636" s="44"/>
      <c r="R5636" s="44"/>
      <c r="S5636" s="44"/>
      <c r="T5636" s="44"/>
      <c r="U5636" s="44"/>
      <c r="V5636" s="44"/>
      <c r="W5636" s="44"/>
      <c r="X5636" s="44"/>
      <c r="Y5636" s="44"/>
    </row>
    <row r="5637" spans="14:25" ht="15" customHeight="1" x14ac:dyDescent="0.25">
      <c r="N5637" s="44"/>
      <c r="O5637" s="44"/>
      <c r="P5637" s="44"/>
      <c r="Q5637" s="44"/>
      <c r="R5637" s="44"/>
      <c r="S5637" s="44"/>
      <c r="T5637" s="44"/>
      <c r="U5637" s="44"/>
      <c r="V5637" s="44"/>
      <c r="W5637" s="44"/>
      <c r="X5637" s="44"/>
      <c r="Y5637" s="44"/>
    </row>
    <row r="5638" spans="14:25" ht="15" customHeight="1" x14ac:dyDescent="0.25">
      <c r="N5638" s="44"/>
      <c r="O5638" s="44"/>
      <c r="P5638" s="44"/>
      <c r="Q5638" s="44"/>
      <c r="R5638" s="44"/>
      <c r="S5638" s="44"/>
      <c r="T5638" s="44"/>
      <c r="U5638" s="44"/>
      <c r="V5638" s="44"/>
      <c r="W5638" s="44"/>
      <c r="X5638" s="44"/>
      <c r="Y5638" s="44"/>
    </row>
    <row r="5639" spans="14:25" ht="15" customHeight="1" x14ac:dyDescent="0.25">
      <c r="N5639" s="44"/>
      <c r="O5639" s="44"/>
      <c r="P5639" s="44"/>
      <c r="Q5639" s="44"/>
      <c r="R5639" s="44"/>
      <c r="S5639" s="44"/>
      <c r="T5639" s="44"/>
      <c r="U5639" s="44"/>
      <c r="V5639" s="44"/>
      <c r="W5639" s="44"/>
      <c r="X5639" s="44"/>
      <c r="Y5639" s="44"/>
    </row>
    <row r="5640" spans="14:25" ht="15" customHeight="1" x14ac:dyDescent="0.25">
      <c r="N5640" s="44"/>
      <c r="O5640" s="44"/>
      <c r="P5640" s="44"/>
      <c r="Q5640" s="44"/>
      <c r="R5640" s="44"/>
      <c r="S5640" s="44"/>
      <c r="T5640" s="44"/>
      <c r="U5640" s="44"/>
      <c r="V5640" s="44"/>
      <c r="W5640" s="44"/>
      <c r="X5640" s="44"/>
      <c r="Y5640" s="44"/>
    </row>
    <row r="5641" spans="14:25" ht="15" customHeight="1" x14ac:dyDescent="0.25">
      <c r="N5641" s="44"/>
      <c r="O5641" s="44"/>
      <c r="P5641" s="44"/>
      <c r="Q5641" s="44"/>
      <c r="R5641" s="44"/>
      <c r="S5641" s="44"/>
      <c r="T5641" s="44"/>
      <c r="U5641" s="44"/>
      <c r="V5641" s="44"/>
      <c r="W5641" s="44"/>
      <c r="X5641" s="44"/>
      <c r="Y5641" s="44"/>
    </row>
    <row r="5642" spans="14:25" ht="15" customHeight="1" x14ac:dyDescent="0.25">
      <c r="N5642" s="44"/>
      <c r="O5642" s="44"/>
      <c r="P5642" s="44"/>
      <c r="Q5642" s="44"/>
      <c r="R5642" s="44"/>
      <c r="S5642" s="44"/>
      <c r="T5642" s="44"/>
      <c r="U5642" s="44"/>
      <c r="V5642" s="44"/>
      <c r="W5642" s="44"/>
      <c r="X5642" s="44"/>
      <c r="Y5642" s="44"/>
    </row>
    <row r="5643" spans="14:25" ht="15" customHeight="1" x14ac:dyDescent="0.25">
      <c r="N5643" s="44"/>
      <c r="O5643" s="44"/>
      <c r="P5643" s="44"/>
      <c r="Q5643" s="44"/>
      <c r="R5643" s="44"/>
      <c r="S5643" s="44"/>
      <c r="T5643" s="44"/>
      <c r="U5643" s="44"/>
      <c r="V5643" s="44"/>
      <c r="W5643" s="44"/>
      <c r="X5643" s="44"/>
      <c r="Y5643" s="44"/>
    </row>
    <row r="5644" spans="14:25" ht="15" customHeight="1" x14ac:dyDescent="0.25">
      <c r="N5644" s="44"/>
      <c r="O5644" s="44"/>
      <c r="P5644" s="44"/>
      <c r="Q5644" s="44"/>
      <c r="R5644" s="44"/>
      <c r="S5644" s="44"/>
      <c r="T5644" s="44"/>
      <c r="U5644" s="44"/>
      <c r="V5644" s="44"/>
      <c r="W5644" s="44"/>
      <c r="X5644" s="44"/>
      <c r="Y5644" s="44"/>
    </row>
    <row r="5645" spans="14:25" ht="15" customHeight="1" x14ac:dyDescent="0.25">
      <c r="N5645" s="44"/>
      <c r="O5645" s="44"/>
      <c r="P5645" s="44"/>
      <c r="Q5645" s="44"/>
      <c r="R5645" s="44"/>
      <c r="S5645" s="44"/>
      <c r="T5645" s="44"/>
      <c r="U5645" s="44"/>
      <c r="V5645" s="44"/>
      <c r="W5645" s="44"/>
      <c r="X5645" s="44"/>
      <c r="Y5645" s="44"/>
    </row>
    <row r="5646" spans="14:25" ht="15" customHeight="1" x14ac:dyDescent="0.25">
      <c r="N5646" s="44"/>
      <c r="O5646" s="44"/>
      <c r="P5646" s="44"/>
      <c r="Q5646" s="44"/>
      <c r="R5646" s="44"/>
      <c r="S5646" s="44"/>
      <c r="T5646" s="44"/>
      <c r="U5646" s="44"/>
      <c r="V5646" s="44"/>
      <c r="W5646" s="44"/>
      <c r="X5646" s="44"/>
      <c r="Y5646" s="44"/>
    </row>
    <row r="5647" spans="14:25" ht="15" customHeight="1" x14ac:dyDescent="0.25">
      <c r="N5647" s="44"/>
      <c r="O5647" s="44"/>
      <c r="P5647" s="44"/>
      <c r="Q5647" s="44"/>
      <c r="R5647" s="44"/>
      <c r="S5647" s="44"/>
      <c r="T5647" s="44"/>
      <c r="U5647" s="44"/>
      <c r="V5647" s="44"/>
      <c r="W5647" s="44"/>
      <c r="X5647" s="44"/>
      <c r="Y5647" s="44"/>
    </row>
    <row r="5648" spans="14:25" ht="15" customHeight="1" x14ac:dyDescent="0.25">
      <c r="N5648" s="44"/>
      <c r="O5648" s="44"/>
      <c r="P5648" s="44"/>
      <c r="Q5648" s="44"/>
      <c r="R5648" s="44"/>
      <c r="S5648" s="44"/>
      <c r="T5648" s="44"/>
      <c r="U5648" s="44"/>
      <c r="V5648" s="44"/>
      <c r="W5648" s="44"/>
      <c r="X5648" s="44"/>
      <c r="Y5648" s="44"/>
    </row>
    <row r="5649" spans="14:25" ht="15" customHeight="1" x14ac:dyDescent="0.25">
      <c r="N5649" s="44"/>
      <c r="O5649" s="44"/>
      <c r="P5649" s="44"/>
      <c r="Q5649" s="44"/>
      <c r="R5649" s="44"/>
      <c r="S5649" s="44"/>
      <c r="T5649" s="44"/>
      <c r="U5649" s="44"/>
      <c r="V5649" s="44"/>
      <c r="W5649" s="44"/>
      <c r="X5649" s="44"/>
      <c r="Y5649" s="44"/>
    </row>
    <row r="5650" spans="14:25" ht="15" customHeight="1" x14ac:dyDescent="0.25">
      <c r="N5650" s="44"/>
      <c r="O5650" s="44"/>
      <c r="P5650" s="44"/>
      <c r="Q5650" s="44"/>
      <c r="R5650" s="44"/>
      <c r="S5650" s="44"/>
      <c r="T5650" s="44"/>
      <c r="U5650" s="44"/>
      <c r="V5650" s="44"/>
      <c r="W5650" s="44"/>
      <c r="X5650" s="44"/>
      <c r="Y5650" s="44"/>
    </row>
    <row r="5651" spans="14:25" ht="15" customHeight="1" x14ac:dyDescent="0.25">
      <c r="N5651" s="44"/>
      <c r="O5651" s="44"/>
      <c r="P5651" s="44"/>
      <c r="Q5651" s="44"/>
      <c r="R5651" s="44"/>
      <c r="S5651" s="44"/>
      <c r="T5651" s="44"/>
      <c r="U5651" s="44"/>
      <c r="V5651" s="44"/>
      <c r="W5651" s="44"/>
      <c r="X5651" s="44"/>
      <c r="Y5651" s="44"/>
    </row>
    <row r="5652" spans="14:25" ht="15" customHeight="1" x14ac:dyDescent="0.25">
      <c r="N5652" s="44"/>
      <c r="O5652" s="44"/>
      <c r="P5652" s="44"/>
      <c r="Q5652" s="44"/>
      <c r="R5652" s="44"/>
      <c r="S5652" s="44"/>
      <c r="T5652" s="44"/>
      <c r="U5652" s="44"/>
      <c r="V5652" s="44"/>
      <c r="W5652" s="44"/>
      <c r="X5652" s="44"/>
      <c r="Y5652" s="44"/>
    </row>
    <row r="5653" spans="14:25" ht="15" customHeight="1" x14ac:dyDescent="0.25">
      <c r="N5653" s="44"/>
      <c r="O5653" s="44"/>
      <c r="P5653" s="44"/>
      <c r="Q5653" s="44"/>
      <c r="R5653" s="44"/>
      <c r="S5653" s="44"/>
      <c r="T5653" s="44"/>
      <c r="U5653" s="44"/>
      <c r="V5653" s="44"/>
      <c r="W5653" s="44"/>
      <c r="X5653" s="44"/>
      <c r="Y5653" s="44"/>
    </row>
    <row r="5654" spans="14:25" ht="15" customHeight="1" x14ac:dyDescent="0.25">
      <c r="N5654" s="44"/>
      <c r="O5654" s="44"/>
      <c r="P5654" s="44"/>
      <c r="Q5654" s="44"/>
      <c r="R5654" s="44"/>
      <c r="S5654" s="44"/>
      <c r="T5654" s="44"/>
      <c r="U5654" s="44"/>
      <c r="V5654" s="44"/>
      <c r="W5654" s="44"/>
      <c r="X5654" s="44"/>
      <c r="Y5654" s="44"/>
    </row>
    <row r="5655" spans="14:25" ht="15" customHeight="1" x14ac:dyDescent="0.25">
      <c r="N5655" s="44"/>
      <c r="O5655" s="44"/>
      <c r="P5655" s="44"/>
      <c r="Q5655" s="44"/>
      <c r="R5655" s="44"/>
      <c r="S5655" s="44"/>
      <c r="T5655" s="44"/>
      <c r="U5655" s="44"/>
      <c r="V5655" s="44"/>
      <c r="W5655" s="44"/>
      <c r="X5655" s="44"/>
      <c r="Y5655" s="44"/>
    </row>
    <row r="5656" spans="14:25" ht="15" customHeight="1" x14ac:dyDescent="0.25">
      <c r="N5656" s="44"/>
      <c r="O5656" s="44"/>
      <c r="P5656" s="44"/>
      <c r="Q5656" s="44"/>
      <c r="R5656" s="44"/>
      <c r="S5656" s="44"/>
      <c r="T5656" s="44"/>
      <c r="U5656" s="44"/>
      <c r="V5656" s="44"/>
      <c r="W5656" s="44"/>
      <c r="X5656" s="44"/>
      <c r="Y5656" s="44"/>
    </row>
    <row r="5657" spans="14:25" ht="15" customHeight="1" x14ac:dyDescent="0.25">
      <c r="N5657" s="44"/>
      <c r="O5657" s="44"/>
      <c r="P5657" s="44"/>
      <c r="Q5657" s="44"/>
      <c r="R5657" s="44"/>
      <c r="S5657" s="44"/>
      <c r="T5657" s="44"/>
      <c r="U5657" s="44"/>
      <c r="V5657" s="44"/>
      <c r="W5657" s="44"/>
      <c r="X5657" s="44"/>
      <c r="Y5657" s="44"/>
    </row>
    <row r="5658" spans="14:25" ht="15" customHeight="1" x14ac:dyDescent="0.25">
      <c r="N5658" s="44"/>
      <c r="O5658" s="44"/>
      <c r="P5658" s="44"/>
      <c r="Q5658" s="44"/>
      <c r="R5658" s="44"/>
      <c r="S5658" s="44"/>
      <c r="T5658" s="44"/>
      <c r="U5658" s="44"/>
      <c r="V5658" s="44"/>
      <c r="W5658" s="44"/>
      <c r="X5658" s="44"/>
      <c r="Y5658" s="44"/>
    </row>
    <row r="5659" spans="14:25" ht="15" customHeight="1" x14ac:dyDescent="0.25">
      <c r="N5659" s="44"/>
      <c r="O5659" s="44"/>
      <c r="P5659" s="44"/>
      <c r="Q5659" s="44"/>
      <c r="R5659" s="44"/>
      <c r="S5659" s="44"/>
      <c r="T5659" s="44"/>
      <c r="U5659" s="44"/>
      <c r="V5659" s="44"/>
      <c r="W5659" s="44"/>
      <c r="X5659" s="44"/>
      <c r="Y5659" s="44"/>
    </row>
    <row r="5660" spans="14:25" ht="15" customHeight="1" x14ac:dyDescent="0.25">
      <c r="N5660" s="44"/>
      <c r="O5660" s="44"/>
      <c r="P5660" s="44"/>
      <c r="Q5660" s="44"/>
      <c r="R5660" s="44"/>
      <c r="S5660" s="44"/>
      <c r="T5660" s="44"/>
      <c r="U5660" s="44"/>
      <c r="V5660" s="44"/>
      <c r="W5660" s="44"/>
      <c r="X5660" s="44"/>
      <c r="Y5660" s="44"/>
    </row>
    <row r="5661" spans="14:25" ht="15" customHeight="1" x14ac:dyDescent="0.25">
      <c r="N5661" s="44"/>
      <c r="O5661" s="44"/>
      <c r="P5661" s="44"/>
      <c r="Q5661" s="44"/>
      <c r="R5661" s="44"/>
      <c r="S5661" s="44"/>
      <c r="T5661" s="44"/>
      <c r="U5661" s="44"/>
      <c r="V5661" s="44"/>
      <c r="W5661" s="44"/>
      <c r="X5661" s="44"/>
      <c r="Y5661" s="44"/>
    </row>
    <row r="5662" spans="14:25" ht="15" customHeight="1" x14ac:dyDescent="0.25">
      <c r="N5662" s="44"/>
      <c r="O5662" s="44"/>
      <c r="P5662" s="44"/>
      <c r="Q5662" s="44"/>
      <c r="R5662" s="44"/>
      <c r="S5662" s="44"/>
      <c r="T5662" s="44"/>
      <c r="U5662" s="44"/>
      <c r="V5662" s="44"/>
      <c r="W5662" s="44"/>
      <c r="X5662" s="44"/>
      <c r="Y5662" s="44"/>
    </row>
    <row r="5663" spans="14:25" ht="15" customHeight="1" x14ac:dyDescent="0.25">
      <c r="N5663" s="44"/>
      <c r="O5663" s="44"/>
      <c r="P5663" s="44"/>
      <c r="Q5663" s="44"/>
      <c r="R5663" s="44"/>
      <c r="S5663" s="44"/>
      <c r="T5663" s="44"/>
      <c r="U5663" s="44"/>
      <c r="V5663" s="44"/>
      <c r="W5663" s="44"/>
      <c r="X5663" s="44"/>
      <c r="Y5663" s="44"/>
    </row>
    <row r="5664" spans="14:25" ht="15" customHeight="1" x14ac:dyDescent="0.25">
      <c r="N5664" s="44"/>
      <c r="O5664" s="44"/>
      <c r="P5664" s="44"/>
      <c r="Q5664" s="44"/>
      <c r="R5664" s="44"/>
      <c r="S5664" s="44"/>
      <c r="T5664" s="44"/>
      <c r="U5664" s="44"/>
      <c r="V5664" s="44"/>
      <c r="W5664" s="44"/>
      <c r="X5664" s="44"/>
      <c r="Y5664" s="44"/>
    </row>
    <row r="5665" spans="14:25" ht="15" customHeight="1" x14ac:dyDescent="0.25">
      <c r="N5665" s="44"/>
      <c r="O5665" s="44"/>
      <c r="P5665" s="44"/>
      <c r="Q5665" s="44"/>
      <c r="R5665" s="44"/>
      <c r="S5665" s="44"/>
      <c r="T5665" s="44"/>
      <c r="U5665" s="44"/>
      <c r="V5665" s="44"/>
      <c r="W5665" s="44"/>
      <c r="X5665" s="44"/>
      <c r="Y5665" s="44"/>
    </row>
    <row r="5666" spans="14:25" ht="15" customHeight="1" x14ac:dyDescent="0.25">
      <c r="N5666" s="44"/>
      <c r="O5666" s="44"/>
      <c r="P5666" s="44"/>
      <c r="Q5666" s="44"/>
      <c r="R5666" s="44"/>
      <c r="S5666" s="44"/>
      <c r="T5666" s="44"/>
      <c r="U5666" s="44"/>
      <c r="V5666" s="44"/>
      <c r="W5666" s="44"/>
      <c r="X5666" s="44"/>
      <c r="Y5666" s="44"/>
    </row>
    <row r="5667" spans="14:25" ht="15" customHeight="1" x14ac:dyDescent="0.25">
      <c r="N5667" s="44"/>
      <c r="O5667" s="44"/>
      <c r="P5667" s="44"/>
      <c r="Q5667" s="44"/>
      <c r="R5667" s="44"/>
      <c r="S5667" s="44"/>
      <c r="T5667" s="44"/>
      <c r="U5667" s="44"/>
      <c r="V5667" s="44"/>
      <c r="W5667" s="44"/>
      <c r="X5667" s="44"/>
      <c r="Y5667" s="44"/>
    </row>
    <row r="5668" spans="14:25" ht="15" customHeight="1" x14ac:dyDescent="0.25">
      <c r="N5668" s="44"/>
      <c r="O5668" s="44"/>
      <c r="P5668" s="44"/>
      <c r="Q5668" s="44"/>
      <c r="R5668" s="44"/>
      <c r="S5668" s="44"/>
      <c r="T5668" s="44"/>
      <c r="U5668" s="44"/>
      <c r="V5668" s="44"/>
      <c r="W5668" s="44"/>
      <c r="X5668" s="44"/>
      <c r="Y5668" s="44"/>
    </row>
    <row r="5669" spans="14:25" ht="15" customHeight="1" x14ac:dyDescent="0.25">
      <c r="N5669" s="44"/>
      <c r="O5669" s="44"/>
      <c r="P5669" s="44"/>
      <c r="Q5669" s="44"/>
      <c r="R5669" s="44"/>
      <c r="S5669" s="44"/>
      <c r="T5669" s="44"/>
      <c r="U5669" s="44"/>
      <c r="V5669" s="44"/>
      <c r="W5669" s="44"/>
      <c r="X5669" s="44"/>
      <c r="Y5669" s="44"/>
    </row>
    <row r="5670" spans="14:25" ht="15" customHeight="1" x14ac:dyDescent="0.25">
      <c r="N5670" s="44"/>
      <c r="O5670" s="44"/>
      <c r="P5670" s="44"/>
      <c r="Q5670" s="44"/>
      <c r="R5670" s="44"/>
      <c r="S5670" s="44"/>
      <c r="T5670" s="44"/>
      <c r="U5670" s="44"/>
      <c r="V5670" s="44"/>
      <c r="W5670" s="44"/>
      <c r="X5670" s="44"/>
      <c r="Y5670" s="44"/>
    </row>
    <row r="5671" spans="14:25" ht="15" customHeight="1" x14ac:dyDescent="0.25">
      <c r="N5671" s="44"/>
      <c r="O5671" s="44"/>
      <c r="P5671" s="44"/>
      <c r="Q5671" s="44"/>
      <c r="R5671" s="44"/>
      <c r="S5671" s="44"/>
      <c r="T5671" s="44"/>
      <c r="U5671" s="44"/>
      <c r="V5671" s="44"/>
      <c r="W5671" s="44"/>
      <c r="X5671" s="44"/>
      <c r="Y5671" s="44"/>
    </row>
    <row r="5672" spans="14:25" ht="15" customHeight="1" x14ac:dyDescent="0.25">
      <c r="N5672" s="44"/>
      <c r="O5672" s="44"/>
      <c r="P5672" s="44"/>
      <c r="Q5672" s="44"/>
      <c r="R5672" s="44"/>
      <c r="S5672" s="44"/>
      <c r="T5672" s="44"/>
      <c r="U5672" s="44"/>
      <c r="V5672" s="44"/>
      <c r="W5672" s="44"/>
      <c r="X5672" s="44"/>
      <c r="Y5672" s="44"/>
    </row>
    <row r="5673" spans="14:25" ht="15" customHeight="1" x14ac:dyDescent="0.25">
      <c r="N5673" s="44"/>
      <c r="O5673" s="44"/>
      <c r="P5673" s="44"/>
      <c r="Q5673" s="44"/>
      <c r="R5673" s="44"/>
      <c r="S5673" s="44"/>
      <c r="T5673" s="44"/>
      <c r="U5673" s="44"/>
      <c r="V5673" s="44"/>
      <c r="W5673" s="44"/>
      <c r="X5673" s="44"/>
      <c r="Y5673" s="44"/>
    </row>
    <row r="5674" spans="14:25" ht="15" customHeight="1" x14ac:dyDescent="0.25">
      <c r="N5674" s="44"/>
      <c r="O5674" s="44"/>
      <c r="P5674" s="44"/>
      <c r="Q5674" s="44"/>
      <c r="R5674" s="44"/>
      <c r="S5674" s="44"/>
      <c r="T5674" s="44"/>
      <c r="U5674" s="44"/>
      <c r="V5674" s="44"/>
      <c r="W5674" s="44"/>
      <c r="X5674" s="44"/>
      <c r="Y5674" s="44"/>
    </row>
    <row r="5675" spans="14:25" ht="15" customHeight="1" x14ac:dyDescent="0.25">
      <c r="N5675" s="44"/>
      <c r="O5675" s="44"/>
      <c r="P5675" s="44"/>
      <c r="Q5675" s="44"/>
      <c r="R5675" s="44"/>
      <c r="S5675" s="44"/>
      <c r="T5675" s="44"/>
      <c r="U5675" s="44"/>
      <c r="V5675" s="44"/>
      <c r="W5675" s="44"/>
      <c r="X5675" s="44"/>
      <c r="Y5675" s="44"/>
    </row>
    <row r="5676" spans="14:25" ht="15" customHeight="1" x14ac:dyDescent="0.25">
      <c r="N5676" s="44"/>
      <c r="O5676" s="44"/>
      <c r="P5676" s="44"/>
      <c r="Q5676" s="44"/>
      <c r="R5676" s="44"/>
      <c r="S5676" s="44"/>
      <c r="T5676" s="44"/>
      <c r="U5676" s="44"/>
      <c r="V5676" s="44"/>
      <c r="W5676" s="44"/>
      <c r="X5676" s="44"/>
      <c r="Y5676" s="44"/>
    </row>
    <row r="5677" spans="14:25" ht="15" customHeight="1" x14ac:dyDescent="0.25">
      <c r="N5677" s="44"/>
      <c r="O5677" s="44"/>
      <c r="P5677" s="44"/>
      <c r="Q5677" s="44"/>
      <c r="R5677" s="44"/>
      <c r="S5677" s="44"/>
      <c r="T5677" s="44"/>
      <c r="U5677" s="44"/>
      <c r="V5677" s="44"/>
      <c r="W5677" s="44"/>
      <c r="X5677" s="44"/>
      <c r="Y5677" s="44"/>
    </row>
    <row r="5678" spans="14:25" ht="15" customHeight="1" x14ac:dyDescent="0.25">
      <c r="N5678" s="44"/>
      <c r="O5678" s="44"/>
      <c r="P5678" s="44"/>
      <c r="Q5678" s="44"/>
      <c r="R5678" s="44"/>
      <c r="S5678" s="44"/>
      <c r="T5678" s="44"/>
      <c r="U5678" s="44"/>
      <c r="V5678" s="44"/>
      <c r="W5678" s="44"/>
      <c r="X5678" s="44"/>
      <c r="Y5678" s="44"/>
    </row>
    <row r="5679" spans="14:25" ht="15" customHeight="1" x14ac:dyDescent="0.25">
      <c r="N5679" s="44"/>
      <c r="O5679" s="44"/>
      <c r="P5679" s="44"/>
      <c r="Q5679" s="44"/>
      <c r="R5679" s="44"/>
      <c r="S5679" s="44"/>
      <c r="T5679" s="44"/>
      <c r="U5679" s="44"/>
      <c r="V5679" s="44"/>
      <c r="W5679" s="44"/>
      <c r="X5679" s="44"/>
      <c r="Y5679" s="44"/>
    </row>
    <row r="5680" spans="14:25" ht="15" customHeight="1" x14ac:dyDescent="0.25">
      <c r="N5680" s="44"/>
      <c r="O5680" s="44"/>
      <c r="P5680" s="44"/>
      <c r="Q5680" s="44"/>
      <c r="R5680" s="44"/>
      <c r="S5680" s="44"/>
      <c r="T5680" s="44"/>
      <c r="U5680" s="44"/>
      <c r="V5680" s="44"/>
      <c r="W5680" s="44"/>
      <c r="X5680" s="44"/>
      <c r="Y5680" s="44"/>
    </row>
    <row r="5681" spans="14:25" ht="15" customHeight="1" x14ac:dyDescent="0.25">
      <c r="N5681" s="44"/>
      <c r="O5681" s="44"/>
      <c r="P5681" s="44"/>
      <c r="Q5681" s="44"/>
      <c r="R5681" s="44"/>
      <c r="S5681" s="44"/>
      <c r="T5681" s="44"/>
      <c r="U5681" s="44"/>
      <c r="V5681" s="44"/>
      <c r="W5681" s="44"/>
      <c r="X5681" s="44"/>
      <c r="Y5681" s="44"/>
    </row>
    <row r="5682" spans="14:25" ht="15" customHeight="1" x14ac:dyDescent="0.25">
      <c r="N5682" s="44"/>
      <c r="O5682" s="44"/>
      <c r="P5682" s="44"/>
      <c r="Q5682" s="44"/>
      <c r="R5682" s="44"/>
      <c r="S5682" s="44"/>
      <c r="T5682" s="44"/>
      <c r="U5682" s="44"/>
      <c r="V5682" s="44"/>
      <c r="W5682" s="44"/>
      <c r="X5682" s="44"/>
      <c r="Y5682" s="44"/>
    </row>
    <row r="5683" spans="14:25" ht="15" customHeight="1" x14ac:dyDescent="0.25">
      <c r="N5683" s="44"/>
      <c r="O5683" s="44"/>
      <c r="P5683" s="44"/>
      <c r="Q5683" s="44"/>
      <c r="R5683" s="44"/>
      <c r="S5683" s="44"/>
      <c r="T5683" s="44"/>
      <c r="U5683" s="44"/>
      <c r="V5683" s="44"/>
      <c r="W5683" s="44"/>
      <c r="X5683" s="44"/>
      <c r="Y5683" s="44"/>
    </row>
    <row r="5684" spans="14:25" ht="15" customHeight="1" x14ac:dyDescent="0.25">
      <c r="N5684" s="44"/>
      <c r="O5684" s="44"/>
      <c r="P5684" s="44"/>
      <c r="Q5684" s="44"/>
      <c r="R5684" s="44"/>
      <c r="S5684" s="44"/>
      <c r="T5684" s="44"/>
      <c r="U5684" s="44"/>
      <c r="V5684" s="44"/>
      <c r="W5684" s="44"/>
      <c r="X5684" s="44"/>
      <c r="Y5684" s="44"/>
    </row>
    <row r="5685" spans="14:25" ht="15" customHeight="1" x14ac:dyDescent="0.25">
      <c r="N5685" s="44"/>
      <c r="O5685" s="44"/>
      <c r="P5685" s="44"/>
      <c r="Q5685" s="44"/>
      <c r="R5685" s="44"/>
      <c r="S5685" s="44"/>
      <c r="T5685" s="44"/>
      <c r="U5685" s="44"/>
      <c r="V5685" s="44"/>
      <c r="W5685" s="44"/>
      <c r="X5685" s="44"/>
      <c r="Y5685" s="44"/>
    </row>
    <row r="5686" spans="14:25" ht="15" customHeight="1" x14ac:dyDescent="0.25">
      <c r="N5686" s="44"/>
      <c r="O5686" s="44"/>
      <c r="P5686" s="44"/>
      <c r="Q5686" s="44"/>
      <c r="R5686" s="44"/>
      <c r="S5686" s="44"/>
      <c r="T5686" s="44"/>
      <c r="U5686" s="44"/>
      <c r="V5686" s="44"/>
      <c r="W5686" s="44"/>
      <c r="X5686" s="44"/>
      <c r="Y5686" s="44"/>
    </row>
    <row r="5687" spans="14:25" ht="15" customHeight="1" x14ac:dyDescent="0.25">
      <c r="N5687" s="44"/>
      <c r="O5687" s="44"/>
      <c r="P5687" s="44"/>
      <c r="Q5687" s="44"/>
      <c r="R5687" s="44"/>
      <c r="S5687" s="44"/>
      <c r="T5687" s="44"/>
      <c r="U5687" s="44"/>
      <c r="V5687" s="44"/>
      <c r="W5687" s="44"/>
      <c r="X5687" s="44"/>
      <c r="Y5687" s="44"/>
    </row>
    <row r="5688" spans="14:25" ht="15" customHeight="1" x14ac:dyDescent="0.25">
      <c r="N5688" s="44"/>
      <c r="O5688" s="44"/>
      <c r="P5688" s="44"/>
      <c r="Q5688" s="44"/>
      <c r="R5688" s="44"/>
      <c r="S5688" s="44"/>
      <c r="T5688" s="44"/>
      <c r="U5688" s="44"/>
      <c r="V5688" s="44"/>
      <c r="W5688" s="44"/>
      <c r="X5688" s="44"/>
      <c r="Y5688" s="44"/>
    </row>
    <row r="5689" spans="14:25" ht="15" customHeight="1" x14ac:dyDescent="0.25">
      <c r="N5689" s="44"/>
      <c r="O5689" s="44"/>
      <c r="P5689" s="44"/>
      <c r="Q5689" s="44"/>
      <c r="R5689" s="44"/>
      <c r="S5689" s="44"/>
      <c r="T5689" s="44"/>
      <c r="U5689" s="44"/>
      <c r="V5689" s="44"/>
      <c r="W5689" s="44"/>
      <c r="X5689" s="44"/>
      <c r="Y5689" s="44"/>
    </row>
    <row r="5690" spans="14:25" ht="15" customHeight="1" x14ac:dyDescent="0.25">
      <c r="N5690" s="44"/>
      <c r="O5690" s="44"/>
      <c r="P5690" s="44"/>
      <c r="Q5690" s="44"/>
      <c r="R5690" s="44"/>
      <c r="S5690" s="44"/>
      <c r="T5690" s="44"/>
      <c r="U5690" s="44"/>
      <c r="V5690" s="44"/>
      <c r="W5690" s="44"/>
      <c r="X5690" s="44"/>
      <c r="Y5690" s="44"/>
    </row>
    <row r="5691" spans="14:25" ht="15" customHeight="1" x14ac:dyDescent="0.25">
      <c r="N5691" s="44"/>
      <c r="O5691" s="44"/>
      <c r="P5691" s="44"/>
      <c r="Q5691" s="44"/>
      <c r="R5691" s="44"/>
      <c r="S5691" s="44"/>
      <c r="T5691" s="44"/>
      <c r="U5691" s="44"/>
      <c r="V5691" s="44"/>
      <c r="W5691" s="44"/>
      <c r="X5691" s="44"/>
      <c r="Y5691" s="44"/>
    </row>
    <row r="5692" spans="14:25" ht="15" customHeight="1" x14ac:dyDescent="0.25">
      <c r="N5692" s="44"/>
      <c r="O5692" s="44"/>
      <c r="P5692" s="44"/>
      <c r="Q5692" s="44"/>
      <c r="R5692" s="44"/>
      <c r="S5692" s="44"/>
      <c r="T5692" s="44"/>
      <c r="U5692" s="44"/>
      <c r="V5692" s="44"/>
      <c r="W5692" s="44"/>
      <c r="X5692" s="44"/>
      <c r="Y5692" s="44"/>
    </row>
    <row r="5693" spans="14:25" ht="15" customHeight="1" x14ac:dyDescent="0.25">
      <c r="N5693" s="44"/>
      <c r="O5693" s="44"/>
      <c r="P5693" s="44"/>
      <c r="Q5693" s="44"/>
      <c r="R5693" s="44"/>
      <c r="S5693" s="44"/>
      <c r="T5693" s="44"/>
      <c r="U5693" s="44"/>
      <c r="V5693" s="44"/>
      <c r="W5693" s="44"/>
      <c r="X5693" s="44"/>
      <c r="Y5693" s="44"/>
    </row>
    <row r="5694" spans="14:25" ht="15" customHeight="1" x14ac:dyDescent="0.25">
      <c r="N5694" s="44"/>
      <c r="O5694" s="44"/>
      <c r="P5694" s="44"/>
      <c r="Q5694" s="44"/>
      <c r="R5694" s="44"/>
      <c r="S5694" s="44"/>
      <c r="T5694" s="44"/>
      <c r="U5694" s="44"/>
      <c r="V5694" s="44"/>
      <c r="W5694" s="44"/>
      <c r="X5694" s="44"/>
      <c r="Y5694" s="44"/>
    </row>
    <row r="5695" spans="14:25" ht="15" customHeight="1" x14ac:dyDescent="0.25">
      <c r="N5695" s="44"/>
      <c r="O5695" s="44"/>
      <c r="P5695" s="44"/>
      <c r="Q5695" s="44"/>
      <c r="R5695" s="44"/>
      <c r="S5695" s="44"/>
      <c r="T5695" s="44"/>
      <c r="U5695" s="44"/>
      <c r="V5695" s="44"/>
      <c r="W5695" s="44"/>
      <c r="X5695" s="44"/>
      <c r="Y5695" s="44"/>
    </row>
    <row r="5696" spans="14:25" ht="15" customHeight="1" x14ac:dyDescent="0.25">
      <c r="N5696" s="44"/>
      <c r="O5696" s="44"/>
      <c r="P5696" s="44"/>
      <c r="Q5696" s="44"/>
      <c r="R5696" s="44"/>
      <c r="S5696" s="44"/>
      <c r="T5696" s="44"/>
      <c r="U5696" s="44"/>
      <c r="V5696" s="44"/>
      <c r="W5696" s="44"/>
      <c r="X5696" s="44"/>
      <c r="Y5696" s="44"/>
    </row>
    <row r="5697" spans="14:25" ht="15" customHeight="1" x14ac:dyDescent="0.25">
      <c r="N5697" s="44"/>
      <c r="O5697" s="44"/>
      <c r="P5697" s="44"/>
      <c r="Q5697" s="44"/>
      <c r="R5697" s="44"/>
      <c r="S5697" s="44"/>
      <c r="T5697" s="44"/>
      <c r="U5697" s="44"/>
      <c r="V5697" s="44"/>
      <c r="W5697" s="44"/>
      <c r="X5697" s="44"/>
      <c r="Y5697" s="44"/>
    </row>
    <row r="5698" spans="14:25" ht="15" customHeight="1" x14ac:dyDescent="0.25">
      <c r="N5698" s="44"/>
      <c r="O5698" s="44"/>
      <c r="P5698" s="44"/>
      <c r="Q5698" s="44"/>
      <c r="R5698" s="44"/>
      <c r="S5698" s="44"/>
      <c r="T5698" s="44"/>
      <c r="U5698" s="44"/>
      <c r="V5698" s="44"/>
      <c r="W5698" s="44"/>
      <c r="X5698" s="44"/>
      <c r="Y5698" s="44"/>
    </row>
    <row r="5699" spans="14:25" ht="15" customHeight="1" x14ac:dyDescent="0.25">
      <c r="N5699" s="44"/>
      <c r="O5699" s="44"/>
      <c r="P5699" s="44"/>
      <c r="Q5699" s="44"/>
      <c r="R5699" s="44"/>
      <c r="S5699" s="44"/>
      <c r="T5699" s="44"/>
      <c r="U5699" s="44"/>
      <c r="V5699" s="44"/>
      <c r="W5699" s="44"/>
      <c r="X5699" s="44"/>
      <c r="Y5699" s="44"/>
    </row>
    <row r="5700" spans="14:25" ht="15" customHeight="1" x14ac:dyDescent="0.25">
      <c r="N5700" s="44"/>
      <c r="O5700" s="44"/>
      <c r="P5700" s="44"/>
      <c r="Q5700" s="44"/>
      <c r="R5700" s="44"/>
      <c r="S5700" s="44"/>
      <c r="T5700" s="44"/>
      <c r="U5700" s="44"/>
      <c r="V5700" s="44"/>
      <c r="W5700" s="44"/>
      <c r="X5700" s="44"/>
      <c r="Y5700" s="44"/>
    </row>
    <row r="5701" spans="14:25" ht="15" customHeight="1" x14ac:dyDescent="0.25">
      <c r="N5701" s="44"/>
      <c r="O5701" s="44"/>
      <c r="P5701" s="44"/>
      <c r="Q5701" s="44"/>
      <c r="R5701" s="44"/>
      <c r="S5701" s="44"/>
      <c r="T5701" s="44"/>
      <c r="U5701" s="44"/>
      <c r="V5701" s="44"/>
      <c r="W5701" s="44"/>
      <c r="X5701" s="44"/>
      <c r="Y5701" s="44"/>
    </row>
    <row r="5702" spans="14:25" ht="15" customHeight="1" x14ac:dyDescent="0.25">
      <c r="N5702" s="44"/>
      <c r="O5702" s="44"/>
      <c r="P5702" s="44"/>
      <c r="Q5702" s="44"/>
      <c r="R5702" s="44"/>
      <c r="S5702" s="44"/>
      <c r="T5702" s="44"/>
      <c r="U5702" s="44"/>
      <c r="V5702" s="44"/>
      <c r="W5702" s="44"/>
      <c r="X5702" s="44"/>
      <c r="Y5702" s="44"/>
    </row>
    <row r="5703" spans="14:25" ht="15" customHeight="1" x14ac:dyDescent="0.25">
      <c r="N5703" s="44"/>
      <c r="O5703" s="44"/>
      <c r="P5703" s="44"/>
      <c r="Q5703" s="44"/>
      <c r="R5703" s="44"/>
      <c r="S5703" s="44"/>
      <c r="T5703" s="44"/>
      <c r="U5703" s="44"/>
      <c r="V5703" s="44"/>
      <c r="W5703" s="44"/>
      <c r="X5703" s="44"/>
      <c r="Y5703" s="44"/>
    </row>
    <row r="5704" spans="14:25" ht="15" customHeight="1" x14ac:dyDescent="0.25">
      <c r="N5704" s="44"/>
      <c r="O5704" s="44"/>
      <c r="P5704" s="44"/>
      <c r="Q5704" s="44"/>
      <c r="R5704" s="44"/>
      <c r="S5704" s="44"/>
      <c r="T5704" s="44"/>
      <c r="U5704" s="44"/>
      <c r="V5704" s="44"/>
      <c r="W5704" s="44"/>
      <c r="X5704" s="44"/>
      <c r="Y5704" s="44"/>
    </row>
    <row r="5705" spans="14:25" ht="15" customHeight="1" x14ac:dyDescent="0.25">
      <c r="N5705" s="44"/>
      <c r="O5705" s="44"/>
      <c r="P5705" s="44"/>
      <c r="Q5705" s="44"/>
      <c r="R5705" s="44"/>
      <c r="S5705" s="44"/>
      <c r="T5705" s="44"/>
      <c r="U5705" s="44"/>
      <c r="V5705" s="44"/>
      <c r="W5705" s="44"/>
      <c r="X5705" s="44"/>
      <c r="Y5705" s="44"/>
    </row>
    <row r="5706" spans="14:25" ht="15" customHeight="1" x14ac:dyDescent="0.25">
      <c r="N5706" s="44"/>
      <c r="O5706" s="44"/>
      <c r="P5706" s="44"/>
      <c r="Q5706" s="44"/>
      <c r="R5706" s="44"/>
      <c r="S5706" s="44"/>
      <c r="T5706" s="44"/>
      <c r="U5706" s="44"/>
      <c r="V5706" s="44"/>
      <c r="W5706" s="44"/>
      <c r="X5706" s="44"/>
      <c r="Y5706" s="44"/>
    </row>
    <row r="5707" spans="14:25" ht="15" customHeight="1" x14ac:dyDescent="0.25">
      <c r="N5707" s="44"/>
      <c r="O5707" s="44"/>
      <c r="P5707" s="44"/>
      <c r="Q5707" s="44"/>
      <c r="R5707" s="44"/>
      <c r="S5707" s="44"/>
      <c r="T5707" s="44"/>
      <c r="U5707" s="44"/>
      <c r="V5707" s="44"/>
      <c r="W5707" s="44"/>
      <c r="X5707" s="44"/>
      <c r="Y5707" s="44"/>
    </row>
    <row r="5708" spans="14:25" ht="15" customHeight="1" x14ac:dyDescent="0.25">
      <c r="N5708" s="44"/>
      <c r="O5708" s="44"/>
      <c r="P5708" s="44"/>
      <c r="Q5708" s="44"/>
      <c r="R5708" s="44"/>
      <c r="S5708" s="44"/>
      <c r="T5708" s="44"/>
      <c r="U5708" s="44"/>
      <c r="V5708" s="44"/>
      <c r="W5708" s="44"/>
      <c r="X5708" s="44"/>
      <c r="Y5708" s="44"/>
    </row>
    <row r="5709" spans="14:25" ht="15" customHeight="1" x14ac:dyDescent="0.25">
      <c r="N5709" s="44"/>
      <c r="O5709" s="44"/>
      <c r="P5709" s="44"/>
      <c r="Q5709" s="44"/>
      <c r="R5709" s="44"/>
      <c r="S5709" s="44"/>
      <c r="T5709" s="44"/>
      <c r="U5709" s="44"/>
      <c r="V5709" s="44"/>
      <c r="W5709" s="44"/>
      <c r="X5709" s="44"/>
      <c r="Y5709" s="44"/>
    </row>
    <row r="5710" spans="14:25" ht="15" customHeight="1" x14ac:dyDescent="0.25">
      <c r="N5710" s="44"/>
      <c r="O5710" s="44"/>
      <c r="P5710" s="44"/>
      <c r="Q5710" s="44"/>
      <c r="R5710" s="44"/>
      <c r="S5710" s="44"/>
      <c r="T5710" s="44"/>
      <c r="U5710" s="44"/>
      <c r="V5710" s="44"/>
      <c r="W5710" s="44"/>
      <c r="X5710" s="44"/>
      <c r="Y5710" s="44"/>
    </row>
    <row r="5711" spans="14:25" ht="15" customHeight="1" x14ac:dyDescent="0.25">
      <c r="N5711" s="44"/>
      <c r="O5711" s="44"/>
      <c r="P5711" s="44"/>
      <c r="Q5711" s="44"/>
      <c r="R5711" s="44"/>
      <c r="S5711" s="44"/>
      <c r="T5711" s="44"/>
      <c r="U5711" s="44"/>
      <c r="V5711" s="44"/>
      <c r="W5711" s="44"/>
      <c r="X5711" s="44"/>
      <c r="Y5711" s="44"/>
    </row>
    <row r="5712" spans="14:25" ht="15" customHeight="1" x14ac:dyDescent="0.25">
      <c r="N5712" s="44"/>
      <c r="O5712" s="44"/>
      <c r="P5712" s="44"/>
      <c r="Q5712" s="44"/>
      <c r="R5712" s="44"/>
      <c r="S5712" s="44"/>
      <c r="T5712" s="44"/>
      <c r="U5712" s="44"/>
      <c r="V5712" s="44"/>
      <c r="W5712" s="44"/>
      <c r="X5712" s="44"/>
      <c r="Y5712" s="44"/>
    </row>
    <row r="5713" spans="14:25" ht="15" customHeight="1" x14ac:dyDescent="0.25">
      <c r="N5713" s="44"/>
      <c r="O5713" s="44"/>
      <c r="P5713" s="44"/>
      <c r="Q5713" s="44"/>
      <c r="R5713" s="44"/>
      <c r="S5713" s="44"/>
      <c r="T5713" s="44"/>
      <c r="U5713" s="44"/>
      <c r="V5713" s="44"/>
      <c r="W5713" s="44"/>
      <c r="X5713" s="44"/>
      <c r="Y5713" s="44"/>
    </row>
    <row r="5714" spans="14:25" ht="15" customHeight="1" x14ac:dyDescent="0.25">
      <c r="N5714" s="44"/>
      <c r="O5714" s="44"/>
      <c r="P5714" s="44"/>
      <c r="Q5714" s="44"/>
      <c r="R5714" s="44"/>
      <c r="S5714" s="44"/>
      <c r="T5714" s="44"/>
      <c r="U5714" s="44"/>
      <c r="V5714" s="44"/>
      <c r="W5714" s="44"/>
      <c r="X5714" s="44"/>
      <c r="Y5714" s="44"/>
    </row>
    <row r="5715" spans="14:25" ht="15" customHeight="1" x14ac:dyDescent="0.25">
      <c r="N5715" s="44"/>
      <c r="O5715" s="44"/>
      <c r="P5715" s="44"/>
      <c r="Q5715" s="44"/>
      <c r="R5715" s="44"/>
      <c r="S5715" s="44"/>
      <c r="T5715" s="44"/>
      <c r="U5715" s="44"/>
      <c r="V5715" s="44"/>
      <c r="W5715" s="44"/>
      <c r="X5715" s="44"/>
      <c r="Y5715" s="44"/>
    </row>
    <row r="5716" spans="14:25" ht="15" customHeight="1" x14ac:dyDescent="0.25">
      <c r="N5716" s="44"/>
      <c r="O5716" s="44"/>
      <c r="P5716" s="44"/>
      <c r="Q5716" s="44"/>
      <c r="R5716" s="44"/>
      <c r="S5716" s="44"/>
      <c r="T5716" s="44"/>
      <c r="U5716" s="44"/>
      <c r="V5716" s="44"/>
      <c r="W5716" s="44"/>
      <c r="X5716" s="44"/>
      <c r="Y5716" s="44"/>
    </row>
    <row r="5717" spans="14:25" ht="15" customHeight="1" x14ac:dyDescent="0.25">
      <c r="N5717" s="44"/>
      <c r="O5717" s="44"/>
      <c r="P5717" s="44"/>
      <c r="Q5717" s="44"/>
      <c r="R5717" s="44"/>
      <c r="S5717" s="44"/>
      <c r="T5717" s="44"/>
      <c r="U5717" s="44"/>
      <c r="V5717" s="44"/>
      <c r="W5717" s="44"/>
      <c r="X5717" s="44"/>
      <c r="Y5717" s="44"/>
    </row>
    <row r="5718" spans="14:25" ht="15" customHeight="1" x14ac:dyDescent="0.25">
      <c r="N5718" s="44"/>
      <c r="O5718" s="44"/>
      <c r="P5718" s="44"/>
      <c r="Q5718" s="44"/>
      <c r="R5718" s="44"/>
      <c r="S5718" s="44"/>
      <c r="T5718" s="44"/>
      <c r="U5718" s="44"/>
      <c r="V5718" s="44"/>
      <c r="W5718" s="44"/>
      <c r="X5718" s="44"/>
      <c r="Y5718" s="44"/>
    </row>
    <row r="5719" spans="14:25" ht="15" customHeight="1" x14ac:dyDescent="0.25">
      <c r="N5719" s="44"/>
      <c r="O5719" s="44"/>
      <c r="P5719" s="44"/>
      <c r="Q5719" s="44"/>
      <c r="R5719" s="44"/>
      <c r="S5719" s="44"/>
      <c r="T5719" s="44"/>
      <c r="U5719" s="44"/>
      <c r="V5719" s="44"/>
      <c r="W5719" s="44"/>
      <c r="X5719" s="44"/>
      <c r="Y5719" s="44"/>
    </row>
    <row r="5720" spans="14:25" ht="15" customHeight="1" x14ac:dyDescent="0.25">
      <c r="N5720" s="44"/>
      <c r="O5720" s="44"/>
      <c r="P5720" s="44"/>
      <c r="Q5720" s="44"/>
      <c r="R5720" s="44"/>
      <c r="S5720" s="44"/>
      <c r="T5720" s="44"/>
      <c r="U5720" s="44"/>
      <c r="V5720" s="44"/>
      <c r="W5720" s="44"/>
      <c r="X5720" s="44"/>
      <c r="Y5720" s="44"/>
    </row>
    <row r="5721" spans="14:25" ht="15" customHeight="1" x14ac:dyDescent="0.25">
      <c r="N5721" s="44"/>
      <c r="O5721" s="44"/>
      <c r="P5721" s="44"/>
      <c r="Q5721" s="44"/>
      <c r="R5721" s="44"/>
      <c r="S5721" s="44"/>
      <c r="T5721" s="44"/>
      <c r="U5721" s="44"/>
      <c r="V5721" s="44"/>
      <c r="W5721" s="44"/>
      <c r="X5721" s="44"/>
      <c r="Y5721" s="44"/>
    </row>
    <row r="5722" spans="14:25" ht="15" customHeight="1" x14ac:dyDescent="0.25">
      <c r="N5722" s="44"/>
      <c r="O5722" s="44"/>
      <c r="P5722" s="44"/>
      <c r="Q5722" s="44"/>
      <c r="R5722" s="44"/>
      <c r="S5722" s="44"/>
      <c r="T5722" s="44"/>
      <c r="U5722" s="44"/>
      <c r="V5722" s="44"/>
      <c r="W5722" s="44"/>
      <c r="X5722" s="44"/>
      <c r="Y5722" s="44"/>
    </row>
    <row r="5723" spans="14:25" ht="15" customHeight="1" x14ac:dyDescent="0.25">
      <c r="N5723" s="44"/>
      <c r="O5723" s="44"/>
      <c r="P5723" s="44"/>
      <c r="Q5723" s="44"/>
      <c r="R5723" s="44"/>
      <c r="S5723" s="44"/>
      <c r="T5723" s="44"/>
      <c r="U5723" s="44"/>
      <c r="V5723" s="44"/>
      <c r="W5723" s="44"/>
      <c r="X5723" s="44"/>
      <c r="Y5723" s="44"/>
    </row>
    <row r="5724" spans="14:25" ht="15" customHeight="1" x14ac:dyDescent="0.25">
      <c r="N5724" s="44"/>
      <c r="O5724" s="44"/>
      <c r="P5724" s="44"/>
      <c r="Q5724" s="44"/>
      <c r="R5724" s="44"/>
      <c r="S5724" s="44"/>
      <c r="T5724" s="44"/>
      <c r="U5724" s="44"/>
      <c r="V5724" s="44"/>
      <c r="W5724" s="44"/>
      <c r="X5724" s="44"/>
      <c r="Y5724" s="44"/>
    </row>
    <row r="5725" spans="14:25" ht="15" customHeight="1" x14ac:dyDescent="0.25">
      <c r="N5725" s="44"/>
      <c r="O5725" s="44"/>
      <c r="P5725" s="44"/>
      <c r="Q5725" s="44"/>
      <c r="R5725" s="44"/>
      <c r="S5725" s="44"/>
      <c r="T5725" s="44"/>
      <c r="U5725" s="44"/>
      <c r="V5725" s="44"/>
      <c r="W5725" s="44"/>
      <c r="X5725" s="44"/>
      <c r="Y5725" s="44"/>
    </row>
    <row r="5726" spans="14:25" ht="15" customHeight="1" x14ac:dyDescent="0.25">
      <c r="N5726" s="44"/>
      <c r="O5726" s="44"/>
      <c r="P5726" s="44"/>
      <c r="Q5726" s="44"/>
      <c r="R5726" s="44"/>
      <c r="S5726" s="44"/>
      <c r="T5726" s="44"/>
      <c r="U5726" s="44"/>
      <c r="V5726" s="44"/>
      <c r="W5726" s="44"/>
      <c r="X5726" s="44"/>
      <c r="Y5726" s="44"/>
    </row>
    <row r="5727" spans="14:25" ht="15" customHeight="1" x14ac:dyDescent="0.25">
      <c r="N5727" s="44"/>
      <c r="O5727" s="44"/>
      <c r="P5727" s="44"/>
      <c r="Q5727" s="44"/>
      <c r="R5727" s="44"/>
      <c r="S5727" s="44"/>
      <c r="T5727" s="44"/>
      <c r="U5727" s="44"/>
      <c r="V5727" s="44"/>
      <c r="W5727" s="44"/>
      <c r="X5727" s="44"/>
      <c r="Y5727" s="44"/>
    </row>
    <row r="5728" spans="14:25" ht="15" customHeight="1" x14ac:dyDescent="0.25">
      <c r="N5728" s="44"/>
      <c r="O5728" s="44"/>
      <c r="P5728" s="44"/>
      <c r="Q5728" s="44"/>
      <c r="R5728" s="44"/>
      <c r="S5728" s="44"/>
      <c r="T5728" s="44"/>
      <c r="U5728" s="44"/>
      <c r="V5728" s="44"/>
      <c r="W5728" s="44"/>
      <c r="X5728" s="44"/>
      <c r="Y5728" s="44"/>
    </row>
    <row r="5729" spans="14:25" ht="15" customHeight="1" x14ac:dyDescent="0.25">
      <c r="N5729" s="44"/>
      <c r="O5729" s="44"/>
      <c r="P5729" s="44"/>
      <c r="Q5729" s="44"/>
      <c r="R5729" s="44"/>
      <c r="S5729" s="44"/>
      <c r="T5729" s="44"/>
      <c r="U5729" s="44"/>
      <c r="V5729" s="44"/>
      <c r="W5729" s="44"/>
      <c r="X5729" s="44"/>
      <c r="Y5729" s="44"/>
    </row>
    <row r="5730" spans="14:25" ht="15" customHeight="1" x14ac:dyDescent="0.25">
      <c r="N5730" s="44"/>
      <c r="O5730" s="44"/>
      <c r="P5730" s="44"/>
      <c r="Q5730" s="44"/>
      <c r="R5730" s="44"/>
      <c r="S5730" s="44"/>
      <c r="T5730" s="44"/>
      <c r="U5730" s="44"/>
      <c r="V5730" s="44"/>
      <c r="W5730" s="44"/>
      <c r="X5730" s="44"/>
      <c r="Y5730" s="44"/>
    </row>
    <row r="5731" spans="14:25" ht="15" customHeight="1" x14ac:dyDescent="0.25">
      <c r="N5731" s="44"/>
      <c r="O5731" s="44"/>
      <c r="P5731" s="44"/>
      <c r="Q5731" s="44"/>
      <c r="R5731" s="44"/>
      <c r="S5731" s="44"/>
      <c r="T5731" s="44"/>
      <c r="U5731" s="44"/>
      <c r="V5731" s="44"/>
      <c r="W5731" s="44"/>
      <c r="X5731" s="44"/>
      <c r="Y5731" s="44"/>
    </row>
    <row r="5732" spans="14:25" ht="15" customHeight="1" x14ac:dyDescent="0.25">
      <c r="N5732" s="44"/>
      <c r="O5732" s="44"/>
      <c r="P5732" s="44"/>
      <c r="Q5732" s="44"/>
      <c r="R5732" s="44"/>
      <c r="S5732" s="44"/>
      <c r="T5732" s="44"/>
      <c r="U5732" s="44"/>
      <c r="V5732" s="44"/>
      <c r="W5732" s="44"/>
      <c r="X5732" s="44"/>
      <c r="Y5732" s="44"/>
    </row>
    <row r="5733" spans="14:25" ht="15" customHeight="1" x14ac:dyDescent="0.25">
      <c r="N5733" s="44"/>
      <c r="O5733" s="44"/>
      <c r="P5733" s="44"/>
      <c r="Q5733" s="44"/>
      <c r="R5733" s="44"/>
      <c r="S5733" s="44"/>
      <c r="T5733" s="44"/>
      <c r="U5733" s="44"/>
      <c r="V5733" s="44"/>
      <c r="W5733" s="44"/>
      <c r="X5733" s="44"/>
      <c r="Y5733" s="44"/>
    </row>
    <row r="5734" spans="14:25" ht="15" customHeight="1" x14ac:dyDescent="0.25">
      <c r="N5734" s="44"/>
      <c r="O5734" s="44"/>
      <c r="P5734" s="44"/>
      <c r="Q5734" s="44"/>
      <c r="R5734" s="44"/>
      <c r="S5734" s="44"/>
      <c r="T5734" s="44"/>
      <c r="U5734" s="44"/>
      <c r="V5734" s="44"/>
      <c r="W5734" s="44"/>
      <c r="X5734" s="44"/>
      <c r="Y5734" s="44"/>
    </row>
    <row r="5735" spans="14:25" ht="15" customHeight="1" x14ac:dyDescent="0.25">
      <c r="N5735" s="44"/>
      <c r="O5735" s="44"/>
      <c r="P5735" s="44"/>
      <c r="Q5735" s="44"/>
      <c r="R5735" s="44"/>
      <c r="S5735" s="44"/>
      <c r="T5735" s="44"/>
      <c r="U5735" s="44"/>
      <c r="V5735" s="44"/>
      <c r="W5735" s="44"/>
      <c r="X5735" s="44"/>
      <c r="Y5735" s="44"/>
    </row>
    <row r="5736" spans="14:25" ht="15" customHeight="1" x14ac:dyDescent="0.25">
      <c r="N5736" s="44"/>
      <c r="O5736" s="44"/>
      <c r="P5736" s="44"/>
      <c r="Q5736" s="44"/>
      <c r="R5736" s="44"/>
      <c r="S5736" s="44"/>
      <c r="T5736" s="44"/>
      <c r="U5736" s="44"/>
      <c r="V5736" s="44"/>
      <c r="W5736" s="44"/>
      <c r="X5736" s="44"/>
      <c r="Y5736" s="44"/>
    </row>
    <row r="5737" spans="14:25" ht="15" customHeight="1" x14ac:dyDescent="0.25">
      <c r="N5737" s="44"/>
      <c r="O5737" s="44"/>
      <c r="P5737" s="44"/>
      <c r="Q5737" s="44"/>
      <c r="R5737" s="44"/>
      <c r="S5737" s="44"/>
      <c r="T5737" s="44"/>
      <c r="U5737" s="44"/>
      <c r="V5737" s="44"/>
      <c r="W5737" s="44"/>
      <c r="X5737" s="44"/>
      <c r="Y5737" s="44"/>
    </row>
    <row r="5738" spans="14:25" ht="15" customHeight="1" x14ac:dyDescent="0.25">
      <c r="N5738" s="44"/>
      <c r="O5738" s="44"/>
      <c r="P5738" s="44"/>
      <c r="Q5738" s="44"/>
      <c r="R5738" s="44"/>
      <c r="S5738" s="44"/>
      <c r="T5738" s="44"/>
      <c r="U5738" s="44"/>
      <c r="V5738" s="44"/>
      <c r="W5738" s="44"/>
      <c r="X5738" s="44"/>
      <c r="Y5738" s="44"/>
    </row>
    <row r="5739" spans="14:25" ht="15" customHeight="1" x14ac:dyDescent="0.25">
      <c r="N5739" s="44"/>
      <c r="O5739" s="44"/>
      <c r="P5739" s="44"/>
      <c r="Q5739" s="44"/>
      <c r="R5739" s="44"/>
      <c r="S5739" s="44"/>
      <c r="T5739" s="44"/>
      <c r="U5739" s="44"/>
      <c r="V5739" s="44"/>
      <c r="W5739" s="44"/>
      <c r="X5739" s="44"/>
      <c r="Y5739" s="44"/>
    </row>
    <row r="5740" spans="14:25" ht="15" customHeight="1" x14ac:dyDescent="0.25">
      <c r="N5740" s="44"/>
      <c r="O5740" s="44"/>
      <c r="P5740" s="44"/>
      <c r="Q5740" s="44"/>
      <c r="R5740" s="44"/>
      <c r="S5740" s="44"/>
      <c r="T5740" s="44"/>
      <c r="U5740" s="44"/>
      <c r="V5740" s="44"/>
      <c r="W5740" s="44"/>
      <c r="X5740" s="44"/>
      <c r="Y5740" s="44"/>
    </row>
    <row r="5741" spans="14:25" ht="15" customHeight="1" x14ac:dyDescent="0.25">
      <c r="N5741" s="44"/>
      <c r="O5741" s="44"/>
      <c r="P5741" s="44"/>
      <c r="Q5741" s="44"/>
      <c r="R5741" s="44"/>
      <c r="S5741" s="44"/>
      <c r="T5741" s="44"/>
      <c r="U5741" s="44"/>
      <c r="V5741" s="44"/>
      <c r="W5741" s="44"/>
      <c r="X5741" s="44"/>
      <c r="Y5741" s="44"/>
    </row>
    <row r="5742" spans="14:25" ht="15" customHeight="1" x14ac:dyDescent="0.25">
      <c r="N5742" s="44"/>
      <c r="O5742" s="44"/>
      <c r="P5742" s="44"/>
      <c r="Q5742" s="44"/>
      <c r="R5742" s="44"/>
      <c r="S5742" s="44"/>
      <c r="T5742" s="44"/>
      <c r="U5742" s="44"/>
      <c r="V5742" s="44"/>
      <c r="W5742" s="44"/>
      <c r="X5742" s="44"/>
      <c r="Y5742" s="44"/>
    </row>
    <row r="5743" spans="14:25" ht="15" customHeight="1" x14ac:dyDescent="0.25">
      <c r="N5743" s="44"/>
      <c r="O5743" s="44"/>
      <c r="P5743" s="44"/>
      <c r="Q5743" s="44"/>
      <c r="R5743" s="44"/>
      <c r="S5743" s="44"/>
      <c r="T5743" s="44"/>
      <c r="U5743" s="44"/>
      <c r="V5743" s="44"/>
      <c r="W5743" s="44"/>
      <c r="X5743" s="44"/>
      <c r="Y5743" s="44"/>
    </row>
    <row r="5744" spans="14:25" ht="15" customHeight="1" x14ac:dyDescent="0.25">
      <c r="N5744" s="44"/>
      <c r="O5744" s="44"/>
      <c r="P5744" s="44"/>
      <c r="Q5744" s="44"/>
      <c r="R5744" s="44"/>
      <c r="S5744" s="44"/>
      <c r="T5744" s="44"/>
      <c r="U5744" s="44"/>
      <c r="V5744" s="44"/>
      <c r="W5744" s="44"/>
      <c r="X5744" s="44"/>
      <c r="Y5744" s="44"/>
    </row>
    <row r="5745" spans="14:25" ht="15" customHeight="1" x14ac:dyDescent="0.25">
      <c r="N5745" s="44"/>
      <c r="O5745" s="44"/>
      <c r="P5745" s="44"/>
      <c r="Q5745" s="44"/>
      <c r="R5745" s="44"/>
      <c r="S5745" s="44"/>
      <c r="T5745" s="44"/>
      <c r="U5745" s="44"/>
      <c r="V5745" s="44"/>
      <c r="W5745" s="44"/>
      <c r="X5745" s="44"/>
      <c r="Y5745" s="44"/>
    </row>
    <row r="5746" spans="14:25" ht="15" customHeight="1" x14ac:dyDescent="0.25">
      <c r="N5746" s="44"/>
      <c r="O5746" s="44"/>
      <c r="P5746" s="44"/>
      <c r="Q5746" s="44"/>
      <c r="R5746" s="44"/>
      <c r="S5746" s="44"/>
      <c r="T5746" s="44"/>
      <c r="U5746" s="44"/>
      <c r="V5746" s="44"/>
      <c r="W5746" s="44"/>
      <c r="X5746" s="44"/>
      <c r="Y5746" s="44"/>
    </row>
    <row r="5747" spans="14:25" ht="15" customHeight="1" x14ac:dyDescent="0.25">
      <c r="N5747" s="44"/>
      <c r="O5747" s="44"/>
      <c r="P5747" s="44"/>
      <c r="Q5747" s="44"/>
      <c r="R5747" s="44"/>
      <c r="S5747" s="44"/>
      <c r="T5747" s="44"/>
      <c r="U5747" s="44"/>
      <c r="V5747" s="44"/>
      <c r="W5747" s="44"/>
      <c r="X5747" s="44"/>
      <c r="Y5747" s="44"/>
    </row>
    <row r="5748" spans="14:25" ht="15" customHeight="1" x14ac:dyDescent="0.25">
      <c r="N5748" s="44"/>
      <c r="O5748" s="44"/>
      <c r="P5748" s="44"/>
      <c r="Q5748" s="44"/>
      <c r="R5748" s="44"/>
      <c r="S5748" s="44"/>
      <c r="T5748" s="44"/>
      <c r="U5748" s="44"/>
      <c r="V5748" s="44"/>
      <c r="W5748" s="44"/>
      <c r="X5748" s="44"/>
      <c r="Y5748" s="44"/>
    </row>
    <row r="5749" spans="14:25" ht="15" customHeight="1" x14ac:dyDescent="0.25">
      <c r="N5749" s="44"/>
      <c r="O5749" s="44"/>
      <c r="P5749" s="44"/>
      <c r="Q5749" s="44"/>
      <c r="R5749" s="44"/>
      <c r="S5749" s="44"/>
      <c r="T5749" s="44"/>
      <c r="U5749" s="44"/>
      <c r="V5749" s="44"/>
      <c r="W5749" s="44"/>
      <c r="X5749" s="44"/>
      <c r="Y5749" s="44"/>
    </row>
    <row r="5750" spans="14:25" ht="15" customHeight="1" x14ac:dyDescent="0.25">
      <c r="N5750" s="44"/>
      <c r="O5750" s="44"/>
      <c r="P5750" s="44"/>
      <c r="Q5750" s="44"/>
      <c r="R5750" s="44"/>
      <c r="S5750" s="44"/>
      <c r="T5750" s="44"/>
      <c r="U5750" s="44"/>
      <c r="V5750" s="44"/>
      <c r="W5750" s="44"/>
      <c r="X5750" s="44"/>
      <c r="Y5750" s="44"/>
    </row>
    <row r="5751" spans="14:25" ht="15" customHeight="1" x14ac:dyDescent="0.25">
      <c r="N5751" s="44"/>
      <c r="O5751" s="44"/>
      <c r="P5751" s="44"/>
      <c r="Q5751" s="44"/>
      <c r="R5751" s="44"/>
      <c r="S5751" s="44"/>
      <c r="T5751" s="44"/>
      <c r="U5751" s="44"/>
      <c r="V5751" s="44"/>
      <c r="W5751" s="44"/>
      <c r="X5751" s="44"/>
      <c r="Y5751" s="44"/>
    </row>
    <row r="5752" spans="14:25" ht="15" customHeight="1" x14ac:dyDescent="0.25">
      <c r="N5752" s="44"/>
      <c r="O5752" s="44"/>
      <c r="P5752" s="44"/>
      <c r="Q5752" s="44"/>
      <c r="R5752" s="44"/>
      <c r="S5752" s="44"/>
      <c r="T5752" s="44"/>
      <c r="U5752" s="44"/>
      <c r="V5752" s="44"/>
      <c r="W5752" s="44"/>
      <c r="X5752" s="44"/>
      <c r="Y5752" s="44"/>
    </row>
    <row r="5753" spans="14:25" ht="15" customHeight="1" x14ac:dyDescent="0.25">
      <c r="N5753" s="44"/>
      <c r="O5753" s="44"/>
      <c r="P5753" s="44"/>
      <c r="Q5753" s="44"/>
      <c r="R5753" s="44"/>
      <c r="S5753" s="44"/>
      <c r="T5753" s="44"/>
      <c r="U5753" s="44"/>
      <c r="V5753" s="44"/>
      <c r="W5753" s="44"/>
      <c r="X5753" s="44"/>
      <c r="Y5753" s="44"/>
    </row>
    <row r="5754" spans="14:25" ht="15" customHeight="1" x14ac:dyDescent="0.25">
      <c r="N5754" s="44"/>
      <c r="O5754" s="44"/>
      <c r="P5754" s="44"/>
      <c r="Q5754" s="44"/>
      <c r="R5754" s="44"/>
      <c r="S5754" s="44"/>
      <c r="T5754" s="44"/>
      <c r="U5754" s="44"/>
      <c r="V5754" s="44"/>
      <c r="W5754" s="44"/>
      <c r="X5754" s="44"/>
      <c r="Y5754" s="44"/>
    </row>
    <row r="5755" spans="14:25" ht="15" customHeight="1" x14ac:dyDescent="0.25">
      <c r="N5755" s="44"/>
      <c r="O5755" s="44"/>
      <c r="P5755" s="44"/>
      <c r="Q5755" s="44"/>
      <c r="R5755" s="44"/>
      <c r="S5755" s="44"/>
      <c r="T5755" s="44"/>
      <c r="U5755" s="44"/>
      <c r="V5755" s="44"/>
      <c r="W5755" s="44"/>
      <c r="X5755" s="44"/>
      <c r="Y5755" s="44"/>
    </row>
    <row r="5756" spans="14:25" ht="15" customHeight="1" x14ac:dyDescent="0.25">
      <c r="N5756" s="44"/>
      <c r="O5756" s="44"/>
      <c r="P5756" s="44"/>
      <c r="Q5756" s="44"/>
      <c r="R5756" s="44"/>
      <c r="S5756" s="44"/>
      <c r="T5756" s="44"/>
      <c r="U5756" s="44"/>
      <c r="V5756" s="44"/>
      <c r="W5756" s="44"/>
      <c r="X5756" s="44"/>
      <c r="Y5756" s="44"/>
    </row>
    <row r="5757" spans="14:25" ht="15" customHeight="1" x14ac:dyDescent="0.25">
      <c r="N5757" s="44"/>
      <c r="O5757" s="44"/>
      <c r="P5757" s="44"/>
      <c r="Q5757" s="44"/>
      <c r="R5757" s="44"/>
      <c r="S5757" s="44"/>
      <c r="T5757" s="44"/>
      <c r="U5757" s="44"/>
      <c r="V5757" s="44"/>
      <c r="W5757" s="44"/>
      <c r="X5757" s="44"/>
      <c r="Y5757" s="44"/>
    </row>
    <row r="5758" spans="14:25" ht="15" customHeight="1" x14ac:dyDescent="0.25">
      <c r="N5758" s="44"/>
      <c r="O5758" s="44"/>
      <c r="P5758" s="44"/>
      <c r="Q5758" s="44"/>
      <c r="R5758" s="44"/>
      <c r="S5758" s="44"/>
      <c r="T5758" s="44"/>
      <c r="U5758" s="44"/>
      <c r="V5758" s="44"/>
      <c r="W5758" s="44"/>
      <c r="X5758" s="44"/>
      <c r="Y5758" s="44"/>
    </row>
    <row r="5759" spans="14:25" ht="15" customHeight="1" x14ac:dyDescent="0.25">
      <c r="N5759" s="44"/>
      <c r="O5759" s="44"/>
      <c r="P5759" s="44"/>
      <c r="Q5759" s="44"/>
      <c r="R5759" s="44"/>
      <c r="S5759" s="44"/>
      <c r="T5759" s="44"/>
      <c r="U5759" s="44"/>
      <c r="V5759" s="44"/>
      <c r="W5759" s="44"/>
      <c r="X5759" s="44"/>
      <c r="Y5759" s="44"/>
    </row>
    <row r="5760" spans="14:25" ht="15" customHeight="1" x14ac:dyDescent="0.25">
      <c r="N5760" s="44"/>
      <c r="O5760" s="44"/>
      <c r="P5760" s="44"/>
      <c r="Q5760" s="44"/>
      <c r="R5760" s="44"/>
      <c r="S5760" s="44"/>
      <c r="T5760" s="44"/>
      <c r="U5760" s="44"/>
      <c r="V5760" s="44"/>
      <c r="W5760" s="44"/>
      <c r="X5760" s="44"/>
      <c r="Y5760" s="44"/>
    </row>
    <row r="5761" spans="14:25" ht="15" customHeight="1" x14ac:dyDescent="0.25">
      <c r="N5761" s="44"/>
      <c r="O5761" s="44"/>
      <c r="P5761" s="44"/>
      <c r="Q5761" s="44"/>
      <c r="R5761" s="44"/>
      <c r="S5761" s="44"/>
      <c r="T5761" s="44"/>
      <c r="U5761" s="44"/>
      <c r="V5761" s="44"/>
      <c r="W5761" s="44"/>
      <c r="X5761" s="44"/>
      <c r="Y5761" s="44"/>
    </row>
    <row r="5762" spans="14:25" ht="15" customHeight="1" x14ac:dyDescent="0.25">
      <c r="N5762" s="44"/>
      <c r="O5762" s="44"/>
      <c r="P5762" s="44"/>
      <c r="Q5762" s="44"/>
      <c r="R5762" s="44"/>
      <c r="S5762" s="44"/>
      <c r="T5762" s="44"/>
      <c r="U5762" s="44"/>
      <c r="V5762" s="44"/>
      <c r="W5762" s="44"/>
      <c r="X5762" s="44"/>
      <c r="Y5762" s="44"/>
    </row>
    <row r="5763" spans="14:25" ht="15" customHeight="1" x14ac:dyDescent="0.25">
      <c r="N5763" s="44"/>
      <c r="O5763" s="44"/>
      <c r="P5763" s="44"/>
      <c r="Q5763" s="44"/>
      <c r="R5763" s="44"/>
      <c r="S5763" s="44"/>
      <c r="T5763" s="44"/>
      <c r="U5763" s="44"/>
      <c r="V5763" s="44"/>
      <c r="W5763" s="44"/>
      <c r="X5763" s="44"/>
      <c r="Y5763" s="44"/>
    </row>
    <row r="5764" spans="14:25" ht="15" customHeight="1" x14ac:dyDescent="0.25">
      <c r="N5764" s="44"/>
      <c r="O5764" s="44"/>
      <c r="P5764" s="44"/>
      <c r="Q5764" s="44"/>
      <c r="R5764" s="44"/>
      <c r="S5764" s="44"/>
      <c r="T5764" s="44"/>
      <c r="U5764" s="44"/>
      <c r="V5764" s="44"/>
      <c r="W5764" s="44"/>
      <c r="X5764" s="44"/>
      <c r="Y5764" s="44"/>
    </row>
    <row r="5765" spans="14:25" ht="15" customHeight="1" x14ac:dyDescent="0.25">
      <c r="N5765" s="44"/>
      <c r="O5765" s="44"/>
      <c r="P5765" s="44"/>
      <c r="Q5765" s="44"/>
      <c r="R5765" s="44"/>
      <c r="S5765" s="44"/>
      <c r="T5765" s="44"/>
      <c r="U5765" s="44"/>
      <c r="V5765" s="44"/>
      <c r="W5765" s="44"/>
      <c r="X5765" s="44"/>
      <c r="Y5765" s="44"/>
    </row>
    <row r="5766" spans="14:25" ht="15" customHeight="1" x14ac:dyDescent="0.25">
      <c r="N5766" s="44"/>
      <c r="O5766" s="44"/>
      <c r="P5766" s="44"/>
      <c r="Q5766" s="44"/>
      <c r="R5766" s="44"/>
      <c r="S5766" s="44"/>
      <c r="T5766" s="44"/>
      <c r="U5766" s="44"/>
      <c r="V5766" s="44"/>
      <c r="W5766" s="44"/>
      <c r="X5766" s="44"/>
      <c r="Y5766" s="44"/>
    </row>
    <row r="5767" spans="14:25" ht="15" customHeight="1" x14ac:dyDescent="0.25">
      <c r="N5767" s="44"/>
      <c r="O5767" s="44"/>
      <c r="P5767" s="44"/>
      <c r="Q5767" s="44"/>
      <c r="R5767" s="44"/>
      <c r="S5767" s="44"/>
      <c r="T5767" s="44"/>
      <c r="U5767" s="44"/>
      <c r="V5767" s="44"/>
      <c r="W5767" s="44"/>
      <c r="X5767" s="44"/>
      <c r="Y5767" s="44"/>
    </row>
    <row r="5768" spans="14:25" ht="15" customHeight="1" x14ac:dyDescent="0.25">
      <c r="N5768" s="44"/>
      <c r="O5768" s="44"/>
      <c r="P5768" s="44"/>
      <c r="Q5768" s="44"/>
      <c r="R5768" s="44"/>
      <c r="S5768" s="44"/>
      <c r="T5768" s="44"/>
      <c r="U5768" s="44"/>
      <c r="V5768" s="44"/>
      <c r="W5768" s="44"/>
      <c r="X5768" s="44"/>
      <c r="Y5768" s="44"/>
    </row>
    <row r="5769" spans="14:25" ht="15" customHeight="1" x14ac:dyDescent="0.25">
      <c r="N5769" s="44"/>
      <c r="O5769" s="44"/>
      <c r="P5769" s="44"/>
      <c r="Q5769" s="44"/>
      <c r="R5769" s="44"/>
      <c r="S5769" s="44"/>
      <c r="T5769" s="44"/>
      <c r="U5769" s="44"/>
      <c r="V5769" s="44"/>
      <c r="W5769" s="44"/>
      <c r="X5769" s="44"/>
      <c r="Y5769" s="44"/>
    </row>
    <row r="5770" spans="14:25" ht="15" customHeight="1" x14ac:dyDescent="0.25">
      <c r="N5770" s="44"/>
      <c r="O5770" s="44"/>
      <c r="P5770" s="44"/>
      <c r="Q5770" s="44"/>
      <c r="R5770" s="44"/>
      <c r="S5770" s="44"/>
      <c r="T5770" s="44"/>
      <c r="U5770" s="44"/>
      <c r="V5770" s="44"/>
      <c r="W5770" s="44"/>
      <c r="X5770" s="44"/>
      <c r="Y5770" s="44"/>
    </row>
    <row r="5771" spans="14:25" ht="15" customHeight="1" x14ac:dyDescent="0.25">
      <c r="N5771" s="44"/>
      <c r="O5771" s="44"/>
      <c r="P5771" s="44"/>
      <c r="Q5771" s="44"/>
      <c r="R5771" s="44"/>
      <c r="S5771" s="44"/>
      <c r="T5771" s="44"/>
      <c r="U5771" s="44"/>
      <c r="V5771" s="44"/>
      <c r="W5771" s="44"/>
      <c r="X5771" s="44"/>
      <c r="Y5771" s="44"/>
    </row>
    <row r="5772" spans="14:25" ht="15" customHeight="1" x14ac:dyDescent="0.25">
      <c r="N5772" s="44"/>
      <c r="O5772" s="44"/>
      <c r="P5772" s="44"/>
      <c r="Q5772" s="44"/>
      <c r="R5772" s="44"/>
      <c r="S5772" s="44"/>
      <c r="T5772" s="44"/>
      <c r="U5772" s="44"/>
      <c r="V5772" s="44"/>
      <c r="W5772" s="44"/>
      <c r="X5772" s="44"/>
      <c r="Y5772" s="44"/>
    </row>
    <row r="5773" spans="14:25" ht="15" customHeight="1" x14ac:dyDescent="0.25">
      <c r="N5773" s="44"/>
      <c r="O5773" s="44"/>
      <c r="P5773" s="44"/>
      <c r="Q5773" s="44"/>
      <c r="R5773" s="44"/>
      <c r="S5773" s="44"/>
      <c r="T5773" s="44"/>
      <c r="U5773" s="44"/>
      <c r="V5773" s="44"/>
      <c r="W5773" s="44"/>
      <c r="X5773" s="44"/>
      <c r="Y5773" s="44"/>
    </row>
    <row r="5774" spans="14:25" ht="15" customHeight="1" x14ac:dyDescent="0.25">
      <c r="N5774" s="44"/>
      <c r="O5774" s="44"/>
      <c r="P5774" s="44"/>
      <c r="Q5774" s="44"/>
      <c r="R5774" s="44"/>
      <c r="S5774" s="44"/>
      <c r="T5774" s="44"/>
      <c r="U5774" s="44"/>
      <c r="V5774" s="44"/>
      <c r="W5774" s="44"/>
      <c r="X5774" s="44"/>
      <c r="Y5774" s="44"/>
    </row>
    <row r="5775" spans="14:25" ht="15" customHeight="1" x14ac:dyDescent="0.25">
      <c r="N5775" s="44"/>
      <c r="O5775" s="44"/>
      <c r="P5775" s="44"/>
      <c r="Q5775" s="44"/>
      <c r="R5775" s="44"/>
      <c r="S5775" s="44"/>
      <c r="T5775" s="44"/>
      <c r="U5775" s="44"/>
      <c r="V5775" s="44"/>
      <c r="W5775" s="44"/>
      <c r="X5775" s="44"/>
      <c r="Y5775" s="44"/>
    </row>
    <row r="5776" spans="14:25" ht="15" customHeight="1" x14ac:dyDescent="0.25">
      <c r="N5776" s="44"/>
      <c r="O5776" s="44"/>
      <c r="P5776" s="44"/>
      <c r="Q5776" s="44"/>
      <c r="R5776" s="44"/>
      <c r="S5776" s="44"/>
      <c r="T5776" s="44"/>
      <c r="U5776" s="44"/>
      <c r="V5776" s="44"/>
      <c r="W5776" s="44"/>
      <c r="X5776" s="44"/>
      <c r="Y5776" s="44"/>
    </row>
    <row r="5777" spans="14:25" ht="15" customHeight="1" x14ac:dyDescent="0.25">
      <c r="N5777" s="44"/>
      <c r="O5777" s="44"/>
      <c r="P5777" s="44"/>
      <c r="Q5777" s="44"/>
      <c r="R5777" s="44"/>
      <c r="S5777" s="44"/>
      <c r="T5777" s="44"/>
      <c r="U5777" s="44"/>
      <c r="V5777" s="44"/>
      <c r="W5777" s="44"/>
      <c r="X5777" s="44"/>
      <c r="Y5777" s="44"/>
    </row>
    <row r="5778" spans="14:25" ht="15" customHeight="1" x14ac:dyDescent="0.25">
      <c r="N5778" s="44"/>
      <c r="O5778" s="44"/>
      <c r="P5778" s="44"/>
      <c r="Q5778" s="44"/>
      <c r="R5778" s="44"/>
      <c r="S5778" s="44"/>
      <c r="T5778" s="44"/>
      <c r="U5778" s="44"/>
      <c r="V5778" s="44"/>
      <c r="W5778" s="44"/>
      <c r="X5778" s="44"/>
      <c r="Y5778" s="44"/>
    </row>
    <row r="5779" spans="14:25" ht="15" customHeight="1" x14ac:dyDescent="0.25">
      <c r="N5779" s="44"/>
      <c r="O5779" s="44"/>
      <c r="P5779" s="44"/>
      <c r="Q5779" s="44"/>
      <c r="R5779" s="44"/>
      <c r="S5779" s="44"/>
      <c r="T5779" s="44"/>
      <c r="U5779" s="44"/>
      <c r="V5779" s="44"/>
      <c r="W5779" s="44"/>
      <c r="X5779" s="44"/>
      <c r="Y5779" s="44"/>
    </row>
    <row r="5780" spans="14:25" ht="15" customHeight="1" x14ac:dyDescent="0.25">
      <c r="N5780" s="44"/>
      <c r="O5780" s="44"/>
      <c r="P5780" s="44"/>
      <c r="Q5780" s="44"/>
      <c r="R5780" s="44"/>
      <c r="S5780" s="44"/>
      <c r="T5780" s="44"/>
      <c r="U5780" s="44"/>
      <c r="V5780" s="44"/>
      <c r="W5780" s="44"/>
      <c r="X5780" s="44"/>
      <c r="Y5780" s="44"/>
    </row>
    <row r="5781" spans="14:25" ht="15" customHeight="1" x14ac:dyDescent="0.25">
      <c r="N5781" s="44"/>
      <c r="O5781" s="44"/>
      <c r="P5781" s="44"/>
      <c r="Q5781" s="44"/>
      <c r="R5781" s="44"/>
      <c r="S5781" s="44"/>
      <c r="T5781" s="44"/>
      <c r="U5781" s="44"/>
      <c r="V5781" s="44"/>
      <c r="W5781" s="44"/>
      <c r="X5781" s="44"/>
      <c r="Y5781" s="44"/>
    </row>
    <row r="5782" spans="14:25" ht="15" customHeight="1" x14ac:dyDescent="0.25">
      <c r="N5782" s="44"/>
      <c r="O5782" s="44"/>
      <c r="P5782" s="44"/>
      <c r="Q5782" s="44"/>
      <c r="R5782" s="44"/>
      <c r="S5782" s="44"/>
      <c r="T5782" s="44"/>
      <c r="U5782" s="44"/>
      <c r="V5782" s="44"/>
      <c r="W5782" s="44"/>
      <c r="X5782" s="44"/>
      <c r="Y5782" s="44"/>
    </row>
    <row r="5783" spans="14:25" ht="15" customHeight="1" x14ac:dyDescent="0.25">
      <c r="N5783" s="44"/>
      <c r="O5783" s="44"/>
      <c r="P5783" s="44"/>
      <c r="Q5783" s="44"/>
      <c r="R5783" s="44"/>
      <c r="S5783" s="44"/>
      <c r="T5783" s="44"/>
      <c r="U5783" s="44"/>
      <c r="V5783" s="44"/>
      <c r="W5783" s="44"/>
      <c r="X5783" s="44"/>
      <c r="Y5783" s="44"/>
    </row>
    <row r="5784" spans="14:25" ht="15" customHeight="1" x14ac:dyDescent="0.25">
      <c r="N5784" s="44"/>
      <c r="O5784" s="44"/>
      <c r="P5784" s="44"/>
      <c r="Q5784" s="44"/>
      <c r="R5784" s="44"/>
      <c r="S5784" s="44"/>
      <c r="T5784" s="44"/>
      <c r="U5784" s="44"/>
      <c r="V5784" s="44"/>
      <c r="W5784" s="44"/>
      <c r="X5784" s="44"/>
      <c r="Y5784" s="44"/>
    </row>
    <row r="5785" spans="14:25" ht="15" customHeight="1" x14ac:dyDescent="0.25">
      <c r="N5785" s="44"/>
      <c r="O5785" s="44"/>
      <c r="P5785" s="44"/>
      <c r="Q5785" s="44"/>
      <c r="R5785" s="44"/>
      <c r="S5785" s="44"/>
      <c r="T5785" s="44"/>
      <c r="U5785" s="44"/>
      <c r="V5785" s="44"/>
      <c r="W5785" s="44"/>
      <c r="X5785" s="44"/>
      <c r="Y5785" s="44"/>
    </row>
    <row r="5786" spans="14:25" ht="15" customHeight="1" x14ac:dyDescent="0.25">
      <c r="N5786" s="44"/>
      <c r="O5786" s="44"/>
      <c r="P5786" s="44"/>
      <c r="Q5786" s="44"/>
      <c r="R5786" s="44"/>
      <c r="S5786" s="44"/>
      <c r="T5786" s="44"/>
      <c r="U5786" s="44"/>
      <c r="V5786" s="44"/>
      <c r="W5786" s="44"/>
      <c r="X5786" s="44"/>
      <c r="Y5786" s="44"/>
    </row>
    <row r="5787" spans="14:25" ht="15" customHeight="1" x14ac:dyDescent="0.25">
      <c r="N5787" s="44"/>
      <c r="O5787" s="44"/>
      <c r="P5787" s="44"/>
      <c r="Q5787" s="44"/>
      <c r="R5787" s="44"/>
      <c r="S5787" s="44"/>
      <c r="T5787" s="44"/>
      <c r="U5787" s="44"/>
      <c r="V5787" s="44"/>
      <c r="W5787" s="44"/>
      <c r="X5787" s="44"/>
      <c r="Y5787" s="44"/>
    </row>
    <row r="5788" spans="14:25" ht="15" customHeight="1" x14ac:dyDescent="0.25">
      <c r="N5788" s="44"/>
      <c r="O5788" s="44"/>
      <c r="P5788" s="44"/>
      <c r="Q5788" s="44"/>
      <c r="R5788" s="44"/>
      <c r="S5788" s="44"/>
      <c r="T5788" s="44"/>
      <c r="U5788" s="44"/>
      <c r="V5788" s="44"/>
      <c r="W5788" s="44"/>
      <c r="X5788" s="44"/>
      <c r="Y5788" s="44"/>
    </row>
    <row r="5789" spans="14:25" ht="15" customHeight="1" x14ac:dyDescent="0.25">
      <c r="N5789" s="44"/>
      <c r="O5789" s="44"/>
      <c r="P5789" s="44"/>
      <c r="Q5789" s="44"/>
      <c r="R5789" s="44"/>
      <c r="S5789" s="44"/>
      <c r="T5789" s="44"/>
      <c r="U5789" s="44"/>
      <c r="V5789" s="44"/>
      <c r="W5789" s="44"/>
      <c r="X5789" s="44"/>
      <c r="Y5789" s="44"/>
    </row>
    <row r="5790" spans="14:25" ht="15" customHeight="1" x14ac:dyDescent="0.25">
      <c r="N5790" s="44"/>
      <c r="O5790" s="44"/>
      <c r="P5790" s="44"/>
      <c r="Q5790" s="44"/>
      <c r="R5790" s="44"/>
      <c r="S5790" s="44"/>
      <c r="T5790" s="44"/>
      <c r="U5790" s="44"/>
      <c r="V5790" s="44"/>
      <c r="W5790" s="44"/>
      <c r="X5790" s="44"/>
      <c r="Y5790" s="44"/>
    </row>
    <row r="5791" spans="14:25" ht="15" customHeight="1" x14ac:dyDescent="0.25">
      <c r="N5791" s="44"/>
      <c r="O5791" s="44"/>
      <c r="P5791" s="44"/>
      <c r="Q5791" s="44"/>
      <c r="R5791" s="44"/>
      <c r="S5791" s="44"/>
      <c r="T5791" s="44"/>
      <c r="U5791" s="44"/>
      <c r="V5791" s="44"/>
      <c r="W5791" s="44"/>
      <c r="X5791" s="44"/>
      <c r="Y5791" s="44"/>
    </row>
    <row r="5792" spans="14:25" ht="15" customHeight="1" x14ac:dyDescent="0.25">
      <c r="N5792" s="44"/>
      <c r="O5792" s="44"/>
      <c r="P5792" s="44"/>
      <c r="Q5792" s="44"/>
      <c r="R5792" s="44"/>
      <c r="S5792" s="44"/>
      <c r="T5792" s="44"/>
      <c r="U5792" s="44"/>
      <c r="V5792" s="44"/>
      <c r="W5792" s="44"/>
      <c r="X5792" s="44"/>
      <c r="Y5792" s="44"/>
    </row>
    <row r="5793" spans="14:25" ht="15" customHeight="1" x14ac:dyDescent="0.25">
      <c r="N5793" s="44"/>
      <c r="O5793" s="44"/>
      <c r="P5793" s="44"/>
      <c r="Q5793" s="44"/>
      <c r="R5793" s="44"/>
      <c r="S5793" s="44"/>
      <c r="T5793" s="44"/>
      <c r="U5793" s="44"/>
      <c r="V5793" s="44"/>
      <c r="W5793" s="44"/>
      <c r="X5793" s="44"/>
      <c r="Y5793" s="44"/>
    </row>
    <row r="5794" spans="14:25" ht="15" customHeight="1" x14ac:dyDescent="0.25">
      <c r="N5794" s="44"/>
      <c r="O5794" s="44"/>
      <c r="P5794" s="44"/>
      <c r="Q5794" s="44"/>
      <c r="R5794" s="44"/>
      <c r="S5794" s="44"/>
      <c r="T5794" s="44"/>
      <c r="U5794" s="44"/>
      <c r="V5794" s="44"/>
      <c r="W5794" s="44"/>
      <c r="X5794" s="44"/>
      <c r="Y5794" s="44"/>
    </row>
    <row r="5795" spans="14:25" ht="15" customHeight="1" x14ac:dyDescent="0.25">
      <c r="N5795" s="44"/>
      <c r="O5795" s="44"/>
      <c r="P5795" s="44"/>
      <c r="Q5795" s="44"/>
      <c r="R5795" s="44"/>
      <c r="S5795" s="44"/>
      <c r="T5795" s="44"/>
      <c r="U5795" s="44"/>
      <c r="V5795" s="44"/>
      <c r="W5795" s="44"/>
      <c r="X5795" s="44"/>
      <c r="Y5795" s="44"/>
    </row>
    <row r="5796" spans="14:25" ht="15" customHeight="1" x14ac:dyDescent="0.25">
      <c r="N5796" s="44"/>
      <c r="O5796" s="44"/>
      <c r="P5796" s="44"/>
      <c r="Q5796" s="44"/>
      <c r="R5796" s="44"/>
      <c r="S5796" s="44"/>
      <c r="T5796" s="44"/>
      <c r="U5796" s="44"/>
      <c r="V5796" s="44"/>
      <c r="W5796" s="44"/>
      <c r="X5796" s="44"/>
      <c r="Y5796" s="44"/>
    </row>
    <row r="5797" spans="14:25" ht="15" customHeight="1" x14ac:dyDescent="0.25">
      <c r="N5797" s="44"/>
      <c r="O5797" s="44"/>
      <c r="P5797" s="44"/>
      <c r="Q5797" s="44"/>
      <c r="R5797" s="44"/>
      <c r="S5797" s="44"/>
      <c r="T5797" s="44"/>
      <c r="U5797" s="44"/>
      <c r="V5797" s="44"/>
      <c r="W5797" s="44"/>
      <c r="X5797" s="44"/>
      <c r="Y5797" s="44"/>
    </row>
    <row r="5798" spans="14:25" ht="15" customHeight="1" x14ac:dyDescent="0.25">
      <c r="N5798" s="44"/>
      <c r="O5798" s="44"/>
      <c r="P5798" s="44"/>
      <c r="Q5798" s="44"/>
      <c r="R5798" s="44"/>
      <c r="S5798" s="44"/>
      <c r="T5798" s="44"/>
      <c r="U5798" s="44"/>
      <c r="V5798" s="44"/>
      <c r="W5798" s="44"/>
      <c r="X5798" s="44"/>
      <c r="Y5798" s="44"/>
    </row>
    <row r="5799" spans="14:25" ht="15" customHeight="1" x14ac:dyDescent="0.25">
      <c r="N5799" s="44"/>
      <c r="O5799" s="44"/>
      <c r="P5799" s="44"/>
      <c r="Q5799" s="44"/>
      <c r="R5799" s="44"/>
      <c r="S5799" s="44"/>
      <c r="T5799" s="44"/>
      <c r="U5799" s="44"/>
      <c r="V5799" s="44"/>
      <c r="W5799" s="44"/>
      <c r="X5799" s="44"/>
      <c r="Y5799" s="44"/>
    </row>
    <row r="5800" spans="14:25" ht="15" customHeight="1" x14ac:dyDescent="0.25">
      <c r="N5800" s="44"/>
      <c r="O5800" s="44"/>
      <c r="P5800" s="44"/>
      <c r="Q5800" s="44"/>
      <c r="R5800" s="44"/>
      <c r="S5800" s="44"/>
      <c r="T5800" s="44"/>
      <c r="U5800" s="44"/>
      <c r="V5800" s="44"/>
      <c r="W5800" s="44"/>
      <c r="X5800" s="44"/>
      <c r="Y5800" s="44"/>
    </row>
    <row r="5801" spans="14:25" ht="15" customHeight="1" x14ac:dyDescent="0.25">
      <c r="N5801" s="44"/>
      <c r="O5801" s="44"/>
      <c r="P5801" s="44"/>
      <c r="Q5801" s="44"/>
      <c r="R5801" s="44"/>
      <c r="S5801" s="44"/>
      <c r="T5801" s="44"/>
      <c r="U5801" s="44"/>
      <c r="V5801" s="44"/>
      <c r="W5801" s="44"/>
      <c r="X5801" s="44"/>
      <c r="Y5801" s="44"/>
    </row>
    <row r="5802" spans="14:25" ht="15" customHeight="1" x14ac:dyDescent="0.25">
      <c r="N5802" s="44"/>
      <c r="O5802" s="44"/>
      <c r="P5802" s="44"/>
      <c r="Q5802" s="44"/>
      <c r="R5802" s="44"/>
      <c r="S5802" s="44"/>
      <c r="T5802" s="44"/>
      <c r="U5802" s="44"/>
      <c r="V5802" s="44"/>
      <c r="W5802" s="44"/>
      <c r="X5802" s="44"/>
      <c r="Y5802" s="44"/>
    </row>
    <row r="5803" spans="14:25" ht="15" customHeight="1" x14ac:dyDescent="0.25">
      <c r="N5803" s="44"/>
      <c r="O5803" s="44"/>
      <c r="P5803" s="44"/>
      <c r="Q5803" s="44"/>
      <c r="R5803" s="44"/>
      <c r="S5803" s="44"/>
      <c r="T5803" s="44"/>
      <c r="U5803" s="44"/>
      <c r="V5803" s="44"/>
      <c r="W5803" s="44"/>
      <c r="X5803" s="44"/>
      <c r="Y5803" s="44"/>
    </row>
    <row r="5804" spans="14:25" ht="15" customHeight="1" x14ac:dyDescent="0.25">
      <c r="N5804" s="44"/>
      <c r="O5804" s="44"/>
      <c r="P5804" s="44"/>
      <c r="Q5804" s="44"/>
      <c r="R5804" s="44"/>
      <c r="S5804" s="44"/>
      <c r="T5804" s="44"/>
      <c r="U5804" s="44"/>
      <c r="V5804" s="44"/>
      <c r="W5804" s="44"/>
      <c r="X5804" s="44"/>
      <c r="Y5804" s="44"/>
    </row>
    <row r="5805" spans="14:25" ht="15" customHeight="1" x14ac:dyDescent="0.25">
      <c r="N5805" s="44"/>
      <c r="O5805" s="44"/>
      <c r="P5805" s="44"/>
      <c r="Q5805" s="44"/>
      <c r="R5805" s="44"/>
      <c r="S5805" s="44"/>
      <c r="T5805" s="44"/>
      <c r="U5805" s="44"/>
      <c r="V5805" s="44"/>
      <c r="W5805" s="44"/>
      <c r="X5805" s="44"/>
      <c r="Y5805" s="44"/>
    </row>
    <row r="5806" spans="14:25" ht="15" customHeight="1" x14ac:dyDescent="0.25">
      <c r="N5806" s="44"/>
      <c r="O5806" s="44"/>
      <c r="P5806" s="44"/>
      <c r="Q5806" s="44"/>
      <c r="R5806" s="44"/>
      <c r="S5806" s="44"/>
      <c r="T5806" s="44"/>
      <c r="U5806" s="44"/>
      <c r="V5806" s="44"/>
      <c r="W5806" s="44"/>
      <c r="X5806" s="44"/>
      <c r="Y5806" s="44"/>
    </row>
    <row r="5807" spans="14:25" ht="15" customHeight="1" x14ac:dyDescent="0.25">
      <c r="N5807" s="44"/>
      <c r="O5807" s="44"/>
      <c r="P5807" s="44"/>
      <c r="Q5807" s="44"/>
      <c r="R5807" s="44"/>
      <c r="S5807" s="44"/>
      <c r="T5807" s="44"/>
      <c r="U5807" s="44"/>
      <c r="V5807" s="44"/>
      <c r="W5807" s="44"/>
      <c r="X5807" s="44"/>
      <c r="Y5807" s="44"/>
    </row>
    <row r="5808" spans="14:25" ht="15" customHeight="1" x14ac:dyDescent="0.25">
      <c r="N5808" s="44"/>
      <c r="O5808" s="44"/>
      <c r="P5808" s="44"/>
      <c r="Q5808" s="44"/>
      <c r="R5808" s="44"/>
      <c r="S5808" s="44"/>
      <c r="T5808" s="44"/>
      <c r="U5808" s="44"/>
      <c r="V5808" s="44"/>
      <c r="W5808" s="44"/>
      <c r="X5808" s="44"/>
      <c r="Y5808" s="44"/>
    </row>
    <row r="5809" spans="14:25" ht="15" customHeight="1" x14ac:dyDescent="0.25">
      <c r="N5809" s="44"/>
      <c r="O5809" s="44"/>
      <c r="P5809" s="44"/>
      <c r="Q5809" s="44"/>
      <c r="R5809" s="44"/>
      <c r="S5809" s="44"/>
      <c r="T5809" s="44"/>
      <c r="U5809" s="44"/>
      <c r="V5809" s="44"/>
      <c r="W5809" s="44"/>
      <c r="X5809" s="44"/>
      <c r="Y5809" s="44"/>
    </row>
    <row r="5810" spans="14:25" ht="15" customHeight="1" x14ac:dyDescent="0.25">
      <c r="N5810" s="44"/>
      <c r="O5810" s="44"/>
      <c r="P5810" s="44"/>
      <c r="Q5810" s="44"/>
      <c r="R5810" s="44"/>
      <c r="S5810" s="44"/>
      <c r="T5810" s="44"/>
      <c r="U5810" s="44"/>
      <c r="V5810" s="44"/>
      <c r="W5810" s="44"/>
      <c r="X5810" s="44"/>
      <c r="Y5810" s="44"/>
    </row>
    <row r="5811" spans="14:25" ht="15" customHeight="1" x14ac:dyDescent="0.25">
      <c r="N5811" s="44"/>
      <c r="O5811" s="44"/>
      <c r="P5811" s="44"/>
      <c r="Q5811" s="44"/>
      <c r="R5811" s="44"/>
      <c r="S5811" s="44"/>
      <c r="T5811" s="44"/>
      <c r="U5811" s="44"/>
      <c r="V5811" s="44"/>
      <c r="W5811" s="44"/>
      <c r="X5811" s="44"/>
      <c r="Y5811" s="44"/>
    </row>
    <row r="5812" spans="14:25" ht="15" customHeight="1" x14ac:dyDescent="0.25">
      <c r="N5812" s="44"/>
      <c r="O5812" s="44"/>
      <c r="P5812" s="44"/>
      <c r="Q5812" s="44"/>
      <c r="R5812" s="44"/>
      <c r="S5812" s="44"/>
      <c r="T5812" s="44"/>
      <c r="U5812" s="44"/>
      <c r="V5812" s="44"/>
      <c r="W5812" s="44"/>
      <c r="X5812" s="44"/>
      <c r="Y5812" s="44"/>
    </row>
    <row r="5813" spans="14:25" ht="15" customHeight="1" x14ac:dyDescent="0.25">
      <c r="N5813" s="44"/>
      <c r="O5813" s="44"/>
      <c r="P5813" s="44"/>
      <c r="Q5813" s="44"/>
      <c r="R5813" s="44"/>
      <c r="S5813" s="44"/>
      <c r="T5813" s="44"/>
      <c r="U5813" s="44"/>
      <c r="V5813" s="44"/>
      <c r="W5813" s="44"/>
      <c r="X5813" s="44"/>
      <c r="Y5813" s="44"/>
    </row>
    <row r="5814" spans="14:25" ht="15" customHeight="1" x14ac:dyDescent="0.25">
      <c r="N5814" s="44"/>
      <c r="O5814" s="44"/>
      <c r="P5814" s="44"/>
      <c r="Q5814" s="44"/>
      <c r="R5814" s="44"/>
      <c r="S5814" s="44"/>
      <c r="T5814" s="44"/>
      <c r="U5814" s="44"/>
      <c r="V5814" s="44"/>
      <c r="W5814" s="44"/>
      <c r="X5814" s="44"/>
      <c r="Y5814" s="44"/>
    </row>
    <row r="5815" spans="14:25" ht="15" customHeight="1" x14ac:dyDescent="0.25">
      <c r="N5815" s="44"/>
      <c r="O5815" s="44"/>
      <c r="P5815" s="44"/>
      <c r="Q5815" s="44"/>
      <c r="R5815" s="44"/>
      <c r="S5815" s="44"/>
      <c r="T5815" s="44"/>
      <c r="U5815" s="44"/>
      <c r="V5815" s="44"/>
      <c r="W5815" s="44"/>
      <c r="X5815" s="44"/>
      <c r="Y5815" s="44"/>
    </row>
    <row r="5816" spans="14:25" ht="15" customHeight="1" x14ac:dyDescent="0.25">
      <c r="N5816" s="44"/>
      <c r="O5816" s="44"/>
      <c r="P5816" s="44"/>
      <c r="Q5816" s="44"/>
      <c r="R5816" s="44"/>
      <c r="S5816" s="44"/>
      <c r="T5816" s="44"/>
      <c r="U5816" s="44"/>
      <c r="V5816" s="44"/>
      <c r="W5816" s="44"/>
      <c r="X5816" s="44"/>
      <c r="Y5816" s="44"/>
    </row>
    <row r="5817" spans="14:25" ht="15" customHeight="1" x14ac:dyDescent="0.25">
      <c r="N5817" s="44"/>
      <c r="O5817" s="44"/>
      <c r="P5817" s="44"/>
      <c r="Q5817" s="44"/>
      <c r="R5817" s="44"/>
      <c r="S5817" s="44"/>
      <c r="T5817" s="44"/>
      <c r="U5817" s="44"/>
      <c r="V5817" s="44"/>
      <c r="W5817" s="44"/>
      <c r="X5817" s="44"/>
      <c r="Y5817" s="44"/>
    </row>
    <row r="5818" spans="14:25" ht="15" customHeight="1" x14ac:dyDescent="0.25">
      <c r="N5818" s="44"/>
      <c r="O5818" s="44"/>
      <c r="P5818" s="44"/>
      <c r="Q5818" s="44"/>
      <c r="R5818" s="44"/>
      <c r="S5818" s="44"/>
      <c r="T5818" s="44"/>
      <c r="U5818" s="44"/>
      <c r="V5818" s="44"/>
      <c r="W5818" s="44"/>
      <c r="X5818" s="44"/>
      <c r="Y5818" s="44"/>
    </row>
    <row r="5819" spans="14:25" ht="15" customHeight="1" x14ac:dyDescent="0.25">
      <c r="N5819" s="44"/>
      <c r="O5819" s="44"/>
      <c r="P5819" s="44"/>
      <c r="Q5819" s="44"/>
      <c r="R5819" s="44"/>
      <c r="S5819" s="44"/>
      <c r="T5819" s="44"/>
      <c r="U5819" s="44"/>
      <c r="V5819" s="44"/>
      <c r="W5819" s="44"/>
      <c r="X5819" s="44"/>
      <c r="Y5819" s="44"/>
    </row>
    <row r="5820" spans="14:25" ht="15" customHeight="1" x14ac:dyDescent="0.25">
      <c r="N5820" s="44"/>
      <c r="O5820" s="44"/>
      <c r="P5820" s="44"/>
      <c r="Q5820" s="44"/>
      <c r="R5820" s="44"/>
      <c r="S5820" s="44"/>
      <c r="T5820" s="44"/>
      <c r="U5820" s="44"/>
      <c r="V5820" s="44"/>
      <c r="W5820" s="44"/>
      <c r="X5820" s="44"/>
      <c r="Y5820" s="44"/>
    </row>
    <row r="5821" spans="14:25" ht="15" customHeight="1" x14ac:dyDescent="0.25">
      <c r="N5821" s="44"/>
      <c r="O5821" s="44"/>
      <c r="P5821" s="44"/>
      <c r="Q5821" s="44"/>
      <c r="R5821" s="44"/>
      <c r="S5821" s="44"/>
      <c r="T5821" s="44"/>
      <c r="U5821" s="44"/>
      <c r="V5821" s="44"/>
      <c r="W5821" s="44"/>
      <c r="X5821" s="44"/>
      <c r="Y5821" s="44"/>
    </row>
    <row r="5822" spans="14:25" ht="15" customHeight="1" x14ac:dyDescent="0.25">
      <c r="N5822" s="44"/>
      <c r="O5822" s="44"/>
      <c r="P5822" s="44"/>
      <c r="Q5822" s="44"/>
      <c r="R5822" s="44"/>
      <c r="S5822" s="44"/>
      <c r="T5822" s="44"/>
      <c r="U5822" s="44"/>
      <c r="V5822" s="44"/>
      <c r="W5822" s="44"/>
      <c r="X5822" s="44"/>
      <c r="Y5822" s="44"/>
    </row>
    <row r="5823" spans="14:25" ht="15" customHeight="1" x14ac:dyDescent="0.25">
      <c r="N5823" s="44"/>
      <c r="O5823" s="44"/>
      <c r="P5823" s="44"/>
      <c r="Q5823" s="44"/>
      <c r="R5823" s="44"/>
      <c r="S5823" s="44"/>
      <c r="T5823" s="44"/>
      <c r="U5823" s="44"/>
      <c r="V5823" s="44"/>
      <c r="W5823" s="44"/>
      <c r="X5823" s="44"/>
      <c r="Y5823" s="44"/>
    </row>
    <row r="5824" spans="14:25" ht="15" customHeight="1" x14ac:dyDescent="0.25">
      <c r="N5824" s="44"/>
      <c r="O5824" s="44"/>
      <c r="P5824" s="44"/>
      <c r="Q5824" s="44"/>
      <c r="R5824" s="44"/>
      <c r="S5824" s="44"/>
      <c r="T5824" s="44"/>
      <c r="U5824" s="44"/>
      <c r="V5824" s="44"/>
      <c r="W5824" s="44"/>
      <c r="X5824" s="44"/>
      <c r="Y5824" s="44"/>
    </row>
    <row r="5825" spans="14:25" ht="15" customHeight="1" x14ac:dyDescent="0.25">
      <c r="N5825" s="44"/>
      <c r="O5825" s="44"/>
      <c r="P5825" s="44"/>
      <c r="Q5825" s="44"/>
      <c r="R5825" s="44"/>
      <c r="S5825" s="44"/>
      <c r="T5825" s="44"/>
      <c r="U5825" s="44"/>
      <c r="V5825" s="44"/>
      <c r="W5825" s="44"/>
      <c r="X5825" s="44"/>
      <c r="Y5825" s="44"/>
    </row>
    <row r="5826" spans="14:25" ht="15" customHeight="1" x14ac:dyDescent="0.25">
      <c r="N5826" s="44"/>
      <c r="O5826" s="44"/>
      <c r="P5826" s="44"/>
      <c r="Q5826" s="44"/>
      <c r="R5826" s="44"/>
      <c r="S5826" s="44"/>
      <c r="T5826" s="44"/>
      <c r="U5826" s="44"/>
      <c r="V5826" s="44"/>
      <c r="W5826" s="44"/>
      <c r="X5826" s="44"/>
      <c r="Y5826" s="44"/>
    </row>
    <row r="5827" spans="14:25" ht="15" customHeight="1" x14ac:dyDescent="0.25">
      <c r="N5827" s="44"/>
      <c r="O5827" s="44"/>
      <c r="P5827" s="44"/>
      <c r="Q5827" s="44"/>
      <c r="R5827" s="44"/>
      <c r="S5827" s="44"/>
      <c r="T5827" s="44"/>
      <c r="U5827" s="44"/>
      <c r="V5827" s="44"/>
      <c r="W5827" s="44"/>
      <c r="X5827" s="44"/>
      <c r="Y5827" s="44"/>
    </row>
    <row r="5828" spans="14:25" ht="15" customHeight="1" x14ac:dyDescent="0.25">
      <c r="N5828" s="44"/>
      <c r="O5828" s="44"/>
      <c r="P5828" s="44"/>
      <c r="Q5828" s="44"/>
      <c r="R5828" s="44"/>
      <c r="S5828" s="44"/>
      <c r="T5828" s="44"/>
      <c r="U5828" s="44"/>
      <c r="V5828" s="44"/>
      <c r="W5828" s="44"/>
      <c r="X5828" s="44"/>
      <c r="Y5828" s="44"/>
    </row>
    <row r="5829" spans="14:25" ht="15" customHeight="1" x14ac:dyDescent="0.25">
      <c r="N5829" s="44"/>
      <c r="O5829" s="44"/>
      <c r="P5829" s="44"/>
      <c r="Q5829" s="44"/>
      <c r="R5829" s="44"/>
      <c r="S5829" s="44"/>
      <c r="T5829" s="44"/>
      <c r="U5829" s="44"/>
      <c r="V5829" s="44"/>
      <c r="W5829" s="44"/>
      <c r="X5829" s="44"/>
      <c r="Y5829" s="44"/>
    </row>
    <row r="5830" spans="14:25" ht="15" customHeight="1" x14ac:dyDescent="0.25">
      <c r="N5830" s="44"/>
      <c r="O5830" s="44"/>
      <c r="P5830" s="44"/>
      <c r="Q5830" s="44"/>
      <c r="R5830" s="44"/>
      <c r="S5830" s="44"/>
      <c r="T5830" s="44"/>
      <c r="U5830" s="44"/>
      <c r="V5830" s="44"/>
      <c r="W5830" s="44"/>
      <c r="X5830" s="44"/>
      <c r="Y5830" s="44"/>
    </row>
    <row r="5831" spans="14:25" ht="15" customHeight="1" x14ac:dyDescent="0.25">
      <c r="N5831" s="44"/>
      <c r="O5831" s="44"/>
      <c r="P5831" s="44"/>
      <c r="Q5831" s="44"/>
      <c r="R5831" s="44"/>
      <c r="S5831" s="44"/>
      <c r="T5831" s="44"/>
      <c r="U5831" s="44"/>
      <c r="V5831" s="44"/>
      <c r="W5831" s="44"/>
      <c r="X5831" s="44"/>
      <c r="Y5831" s="44"/>
    </row>
    <row r="5832" spans="14:25" ht="15" customHeight="1" x14ac:dyDescent="0.25">
      <c r="N5832" s="44"/>
      <c r="O5832" s="44"/>
      <c r="P5832" s="44"/>
      <c r="Q5832" s="44"/>
      <c r="R5832" s="44"/>
      <c r="S5832" s="44"/>
      <c r="T5832" s="44"/>
      <c r="U5832" s="44"/>
      <c r="V5832" s="44"/>
      <c r="W5832" s="44"/>
      <c r="X5832" s="44"/>
      <c r="Y5832" s="44"/>
    </row>
    <row r="5833" spans="14:25" ht="15" customHeight="1" x14ac:dyDescent="0.25">
      <c r="N5833" s="44"/>
      <c r="O5833" s="44"/>
      <c r="P5833" s="44"/>
      <c r="Q5833" s="44"/>
      <c r="R5833" s="44"/>
      <c r="S5833" s="44"/>
      <c r="T5833" s="44"/>
      <c r="U5833" s="44"/>
      <c r="V5833" s="44"/>
      <c r="W5833" s="44"/>
      <c r="X5833" s="44"/>
      <c r="Y5833" s="44"/>
    </row>
    <row r="5834" spans="14:25" ht="15" customHeight="1" x14ac:dyDescent="0.25">
      <c r="N5834" s="44"/>
      <c r="O5834" s="44"/>
      <c r="P5834" s="44"/>
      <c r="Q5834" s="44"/>
      <c r="R5834" s="44"/>
      <c r="S5834" s="44"/>
      <c r="T5834" s="44"/>
      <c r="U5834" s="44"/>
      <c r="V5834" s="44"/>
      <c r="W5834" s="44"/>
      <c r="X5834" s="44"/>
      <c r="Y5834" s="44"/>
    </row>
    <row r="5835" spans="14:25" ht="15" customHeight="1" x14ac:dyDescent="0.25">
      <c r="N5835" s="44"/>
      <c r="O5835" s="44"/>
      <c r="P5835" s="44"/>
      <c r="Q5835" s="44"/>
      <c r="R5835" s="44"/>
      <c r="S5835" s="44"/>
      <c r="T5835" s="44"/>
      <c r="U5835" s="44"/>
      <c r="V5835" s="44"/>
      <c r="W5835" s="44"/>
      <c r="X5835" s="44"/>
      <c r="Y5835" s="44"/>
    </row>
    <row r="5836" spans="14:25" ht="15" customHeight="1" x14ac:dyDescent="0.25">
      <c r="N5836" s="44"/>
      <c r="O5836" s="44"/>
      <c r="P5836" s="44"/>
      <c r="Q5836" s="44"/>
      <c r="R5836" s="44"/>
      <c r="S5836" s="44"/>
      <c r="T5836" s="44"/>
      <c r="U5836" s="44"/>
      <c r="V5836" s="44"/>
      <c r="W5836" s="44"/>
      <c r="X5836" s="44"/>
      <c r="Y5836" s="44"/>
    </row>
    <row r="5837" spans="14:25" ht="15" customHeight="1" x14ac:dyDescent="0.25">
      <c r="N5837" s="44"/>
      <c r="O5837" s="44"/>
      <c r="P5837" s="44"/>
      <c r="Q5837" s="44"/>
      <c r="R5837" s="44"/>
      <c r="S5837" s="44"/>
      <c r="T5837" s="44"/>
      <c r="U5837" s="44"/>
      <c r="V5837" s="44"/>
      <c r="W5837" s="44"/>
      <c r="X5837" s="44"/>
      <c r="Y5837" s="44"/>
    </row>
    <row r="5838" spans="14:25" ht="15" customHeight="1" x14ac:dyDescent="0.25">
      <c r="N5838" s="44"/>
      <c r="O5838" s="44"/>
      <c r="P5838" s="44"/>
      <c r="Q5838" s="44"/>
      <c r="R5838" s="44"/>
      <c r="S5838" s="44"/>
      <c r="T5838" s="44"/>
      <c r="U5838" s="44"/>
      <c r="V5838" s="44"/>
      <c r="W5838" s="44"/>
      <c r="X5838" s="44"/>
      <c r="Y5838" s="44"/>
    </row>
    <row r="5839" spans="14:25" ht="15" customHeight="1" x14ac:dyDescent="0.25">
      <c r="N5839" s="44"/>
      <c r="O5839" s="44"/>
      <c r="P5839" s="44"/>
      <c r="Q5839" s="44"/>
      <c r="R5839" s="44"/>
      <c r="S5839" s="44"/>
      <c r="T5839" s="44"/>
      <c r="U5839" s="44"/>
      <c r="V5839" s="44"/>
      <c r="W5839" s="44"/>
      <c r="X5839" s="44"/>
      <c r="Y5839" s="44"/>
    </row>
    <row r="5840" spans="14:25" ht="15" customHeight="1" x14ac:dyDescent="0.25">
      <c r="N5840" s="44"/>
      <c r="O5840" s="44"/>
      <c r="P5840" s="44"/>
      <c r="Q5840" s="44"/>
      <c r="R5840" s="44"/>
      <c r="S5840" s="44"/>
      <c r="T5840" s="44"/>
      <c r="U5840" s="44"/>
      <c r="V5840" s="44"/>
      <c r="W5840" s="44"/>
      <c r="X5840" s="44"/>
      <c r="Y5840" s="44"/>
    </row>
    <row r="5841" spans="14:25" ht="15" customHeight="1" x14ac:dyDescent="0.25">
      <c r="N5841" s="44"/>
      <c r="O5841" s="44"/>
      <c r="P5841" s="44"/>
      <c r="Q5841" s="44"/>
      <c r="R5841" s="44"/>
      <c r="S5841" s="44"/>
      <c r="T5841" s="44"/>
      <c r="U5841" s="44"/>
      <c r="V5841" s="44"/>
      <c r="W5841" s="44"/>
      <c r="X5841" s="44"/>
      <c r="Y5841" s="44"/>
    </row>
    <row r="5842" spans="14:25" ht="15" customHeight="1" x14ac:dyDescent="0.25">
      <c r="N5842" s="44"/>
      <c r="O5842" s="44"/>
      <c r="P5842" s="44"/>
      <c r="Q5842" s="44"/>
      <c r="R5842" s="44"/>
      <c r="S5842" s="44"/>
      <c r="T5842" s="44"/>
      <c r="U5842" s="44"/>
      <c r="V5842" s="44"/>
      <c r="W5842" s="44"/>
      <c r="X5842" s="44"/>
      <c r="Y5842" s="44"/>
    </row>
    <row r="5843" spans="14:25" ht="15" customHeight="1" x14ac:dyDescent="0.25">
      <c r="N5843" s="44"/>
      <c r="O5843" s="44"/>
      <c r="P5843" s="44"/>
      <c r="Q5843" s="44"/>
      <c r="R5843" s="44"/>
      <c r="S5843" s="44"/>
      <c r="T5843" s="44"/>
      <c r="U5843" s="44"/>
      <c r="V5843" s="44"/>
      <c r="W5843" s="44"/>
      <c r="X5843" s="44"/>
      <c r="Y5843" s="44"/>
    </row>
    <row r="5844" spans="14:25" ht="15" customHeight="1" x14ac:dyDescent="0.25">
      <c r="N5844" s="44"/>
      <c r="O5844" s="44"/>
      <c r="P5844" s="44"/>
      <c r="Q5844" s="44"/>
      <c r="R5844" s="44"/>
      <c r="S5844" s="44"/>
      <c r="T5844" s="44"/>
      <c r="U5844" s="44"/>
      <c r="V5844" s="44"/>
      <c r="W5844" s="44"/>
      <c r="X5844" s="44"/>
      <c r="Y5844" s="44"/>
    </row>
    <row r="5845" spans="14:25" ht="15" customHeight="1" x14ac:dyDescent="0.25">
      <c r="N5845" s="44"/>
      <c r="O5845" s="44"/>
      <c r="P5845" s="44"/>
      <c r="Q5845" s="44"/>
      <c r="R5845" s="44"/>
      <c r="S5845" s="44"/>
      <c r="T5845" s="44"/>
      <c r="U5845" s="44"/>
      <c r="V5845" s="44"/>
      <c r="W5845" s="44"/>
      <c r="X5845" s="44"/>
      <c r="Y5845" s="44"/>
    </row>
    <row r="5846" spans="14:25" ht="15" customHeight="1" x14ac:dyDescent="0.25">
      <c r="N5846" s="44"/>
      <c r="O5846" s="44"/>
      <c r="P5846" s="44"/>
      <c r="Q5846" s="44"/>
      <c r="R5846" s="44"/>
      <c r="S5846" s="44"/>
      <c r="T5846" s="44"/>
      <c r="U5846" s="44"/>
      <c r="V5846" s="44"/>
      <c r="W5846" s="44"/>
      <c r="X5846" s="44"/>
      <c r="Y5846" s="44"/>
    </row>
    <row r="5847" spans="14:25" ht="15" customHeight="1" x14ac:dyDescent="0.25">
      <c r="N5847" s="44"/>
      <c r="O5847" s="44"/>
      <c r="P5847" s="44"/>
      <c r="Q5847" s="44"/>
      <c r="R5847" s="44"/>
      <c r="S5847" s="44"/>
      <c r="T5847" s="44"/>
      <c r="U5847" s="44"/>
      <c r="V5847" s="44"/>
      <c r="W5847" s="44"/>
      <c r="X5847" s="44"/>
      <c r="Y5847" s="44"/>
    </row>
    <row r="5848" spans="14:25" ht="15" customHeight="1" x14ac:dyDescent="0.25">
      <c r="N5848" s="44"/>
      <c r="O5848" s="44"/>
      <c r="P5848" s="44"/>
      <c r="Q5848" s="44"/>
      <c r="R5848" s="44"/>
      <c r="S5848" s="44"/>
      <c r="T5848" s="44"/>
      <c r="U5848" s="44"/>
      <c r="V5848" s="44"/>
      <c r="W5848" s="44"/>
      <c r="X5848" s="44"/>
      <c r="Y5848" s="44"/>
    </row>
    <row r="5849" spans="14:25" ht="15" customHeight="1" x14ac:dyDescent="0.25">
      <c r="N5849" s="44"/>
      <c r="O5849" s="44"/>
      <c r="P5849" s="44"/>
      <c r="Q5849" s="44"/>
      <c r="R5849" s="44"/>
      <c r="S5849" s="44"/>
      <c r="T5849" s="44"/>
      <c r="U5849" s="44"/>
      <c r="V5849" s="44"/>
      <c r="W5849" s="44"/>
      <c r="X5849" s="44"/>
      <c r="Y5849" s="44"/>
    </row>
    <row r="5850" spans="14:25" ht="15" customHeight="1" x14ac:dyDescent="0.25">
      <c r="N5850" s="44"/>
      <c r="O5850" s="44"/>
      <c r="P5850" s="44"/>
      <c r="Q5850" s="44"/>
      <c r="R5850" s="44"/>
      <c r="S5850" s="44"/>
      <c r="T5850" s="44"/>
      <c r="U5850" s="44"/>
      <c r="V5850" s="44"/>
      <c r="W5850" s="44"/>
      <c r="X5850" s="44"/>
      <c r="Y5850" s="44"/>
    </row>
    <row r="5851" spans="14:25" ht="15" customHeight="1" x14ac:dyDescent="0.25">
      <c r="N5851" s="44"/>
      <c r="O5851" s="44"/>
      <c r="P5851" s="44"/>
      <c r="Q5851" s="44"/>
      <c r="R5851" s="44"/>
      <c r="S5851" s="44"/>
      <c r="T5851" s="44"/>
      <c r="U5851" s="44"/>
      <c r="V5851" s="44"/>
      <c r="W5851" s="44"/>
      <c r="X5851" s="44"/>
      <c r="Y5851" s="44"/>
    </row>
    <row r="5852" spans="14:25" ht="15" customHeight="1" x14ac:dyDescent="0.25">
      <c r="N5852" s="44"/>
      <c r="O5852" s="44"/>
      <c r="P5852" s="44"/>
      <c r="Q5852" s="44"/>
      <c r="R5852" s="44"/>
      <c r="S5852" s="44"/>
      <c r="T5852" s="44"/>
      <c r="U5852" s="44"/>
      <c r="V5852" s="44"/>
      <c r="W5852" s="44"/>
      <c r="X5852" s="44"/>
      <c r="Y5852" s="44"/>
    </row>
    <row r="5853" spans="14:25" ht="15" customHeight="1" x14ac:dyDescent="0.25">
      <c r="N5853" s="44"/>
      <c r="O5853" s="44"/>
      <c r="P5853" s="44"/>
      <c r="Q5853" s="44"/>
      <c r="R5853" s="44"/>
      <c r="S5853" s="44"/>
      <c r="T5853" s="44"/>
      <c r="U5853" s="44"/>
      <c r="V5853" s="44"/>
      <c r="W5853" s="44"/>
      <c r="X5853" s="44"/>
      <c r="Y5853" s="44"/>
    </row>
    <row r="5854" spans="14:25" ht="15" customHeight="1" x14ac:dyDescent="0.25">
      <c r="N5854" s="44"/>
      <c r="O5854" s="44"/>
      <c r="P5854" s="44"/>
      <c r="Q5854" s="44"/>
      <c r="R5854" s="44"/>
      <c r="S5854" s="44"/>
      <c r="T5854" s="44"/>
      <c r="U5854" s="44"/>
      <c r="V5854" s="44"/>
      <c r="W5854" s="44"/>
      <c r="X5854" s="44"/>
      <c r="Y5854" s="44"/>
    </row>
    <row r="5855" spans="14:25" ht="15" customHeight="1" x14ac:dyDescent="0.25">
      <c r="N5855" s="44"/>
      <c r="O5855" s="44"/>
      <c r="P5855" s="44"/>
      <c r="Q5855" s="44"/>
      <c r="R5855" s="44"/>
      <c r="S5855" s="44"/>
      <c r="T5855" s="44"/>
      <c r="U5855" s="44"/>
      <c r="V5855" s="44"/>
      <c r="W5855" s="44"/>
      <c r="X5855" s="44"/>
      <c r="Y5855" s="44"/>
    </row>
    <row r="5856" spans="14:25" ht="15" customHeight="1" x14ac:dyDescent="0.25">
      <c r="N5856" s="44"/>
      <c r="O5856" s="44"/>
      <c r="P5856" s="44"/>
      <c r="Q5856" s="44"/>
      <c r="R5856" s="44"/>
      <c r="S5856" s="44"/>
      <c r="T5856" s="44"/>
      <c r="U5856" s="44"/>
      <c r="V5856" s="44"/>
      <c r="W5856" s="44"/>
      <c r="X5856" s="44"/>
      <c r="Y5856" s="44"/>
    </row>
    <row r="5857" spans="14:25" ht="15" customHeight="1" x14ac:dyDescent="0.25">
      <c r="N5857" s="44"/>
      <c r="O5857" s="44"/>
      <c r="P5857" s="44"/>
      <c r="Q5857" s="44"/>
      <c r="R5857" s="44"/>
      <c r="S5857" s="44"/>
      <c r="T5857" s="44"/>
      <c r="U5857" s="44"/>
      <c r="V5857" s="44"/>
      <c r="W5857" s="44"/>
      <c r="X5857" s="44"/>
      <c r="Y5857" s="44"/>
    </row>
    <row r="5858" spans="14:25" ht="15" customHeight="1" x14ac:dyDescent="0.25">
      <c r="N5858" s="44"/>
      <c r="O5858" s="44"/>
      <c r="P5858" s="44"/>
      <c r="Q5858" s="44"/>
      <c r="R5858" s="44"/>
      <c r="S5858" s="44"/>
      <c r="T5858" s="44"/>
      <c r="U5858" s="44"/>
      <c r="V5858" s="44"/>
      <c r="W5858" s="44"/>
      <c r="X5858" s="44"/>
      <c r="Y5858" s="44"/>
    </row>
    <row r="5859" spans="14:25" ht="15" customHeight="1" x14ac:dyDescent="0.25">
      <c r="N5859" s="44"/>
      <c r="O5859" s="44"/>
      <c r="P5859" s="44"/>
      <c r="Q5859" s="44"/>
      <c r="R5859" s="44"/>
      <c r="S5859" s="44"/>
      <c r="T5859" s="44"/>
      <c r="U5859" s="44"/>
      <c r="V5859" s="44"/>
      <c r="W5859" s="44"/>
      <c r="X5859" s="44"/>
      <c r="Y5859" s="44"/>
    </row>
    <row r="5860" spans="14:25" ht="15" customHeight="1" x14ac:dyDescent="0.25">
      <c r="N5860" s="44"/>
      <c r="O5860" s="44"/>
      <c r="P5860" s="44"/>
      <c r="Q5860" s="44"/>
      <c r="R5860" s="44"/>
      <c r="S5860" s="44"/>
      <c r="T5860" s="44"/>
      <c r="U5860" s="44"/>
      <c r="V5860" s="44"/>
      <c r="W5860" s="44"/>
      <c r="X5860" s="44"/>
      <c r="Y5860" s="44"/>
    </row>
    <row r="5861" spans="14:25" ht="15" customHeight="1" x14ac:dyDescent="0.25">
      <c r="N5861" s="44"/>
      <c r="O5861" s="44"/>
      <c r="P5861" s="44"/>
      <c r="Q5861" s="44"/>
      <c r="R5861" s="44"/>
      <c r="S5861" s="44"/>
      <c r="T5861" s="44"/>
      <c r="U5861" s="44"/>
      <c r="V5861" s="44"/>
      <c r="W5861" s="44"/>
      <c r="X5861" s="44"/>
      <c r="Y5861" s="44"/>
    </row>
    <row r="5862" spans="14:25" ht="15" customHeight="1" x14ac:dyDescent="0.25">
      <c r="N5862" s="44"/>
      <c r="O5862" s="44"/>
      <c r="P5862" s="44"/>
      <c r="Q5862" s="44"/>
      <c r="R5862" s="44"/>
      <c r="S5862" s="44"/>
      <c r="T5862" s="44"/>
      <c r="U5862" s="44"/>
      <c r="V5862" s="44"/>
      <c r="W5862" s="44"/>
      <c r="X5862" s="44"/>
      <c r="Y5862" s="44"/>
    </row>
    <row r="5863" spans="14:25" ht="15" customHeight="1" x14ac:dyDescent="0.25">
      <c r="N5863" s="44"/>
      <c r="O5863" s="44"/>
      <c r="P5863" s="44"/>
      <c r="Q5863" s="44"/>
      <c r="R5863" s="44"/>
      <c r="S5863" s="44"/>
      <c r="T5863" s="44"/>
      <c r="U5863" s="44"/>
      <c r="V5863" s="44"/>
      <c r="W5863" s="44"/>
      <c r="X5863" s="44"/>
      <c r="Y5863" s="44"/>
    </row>
    <row r="5864" spans="14:25" ht="15" customHeight="1" x14ac:dyDescent="0.25">
      <c r="N5864" s="44"/>
      <c r="O5864" s="44"/>
      <c r="P5864" s="44"/>
      <c r="Q5864" s="44"/>
      <c r="R5864" s="44"/>
      <c r="S5864" s="44"/>
      <c r="T5864" s="44"/>
      <c r="U5864" s="44"/>
      <c r="V5864" s="44"/>
      <c r="W5864" s="44"/>
      <c r="X5864" s="44"/>
      <c r="Y5864" s="44"/>
    </row>
    <row r="5865" spans="14:25" ht="15" customHeight="1" x14ac:dyDescent="0.25">
      <c r="N5865" s="44"/>
      <c r="O5865" s="44"/>
      <c r="P5865" s="44"/>
      <c r="Q5865" s="44"/>
      <c r="R5865" s="44"/>
      <c r="S5865" s="44"/>
      <c r="T5865" s="44"/>
      <c r="U5865" s="44"/>
      <c r="V5865" s="44"/>
      <c r="W5865" s="44"/>
      <c r="X5865" s="44"/>
      <c r="Y5865" s="44"/>
    </row>
    <row r="5866" spans="14:25" ht="15" customHeight="1" x14ac:dyDescent="0.25">
      <c r="N5866" s="44"/>
      <c r="O5866" s="44"/>
      <c r="P5866" s="44"/>
      <c r="Q5866" s="44"/>
      <c r="R5866" s="44"/>
      <c r="S5866" s="44"/>
      <c r="T5866" s="44"/>
      <c r="U5866" s="44"/>
      <c r="V5866" s="44"/>
      <c r="W5866" s="44"/>
      <c r="X5866" s="44"/>
      <c r="Y5866" s="44"/>
    </row>
    <row r="5867" spans="14:25" ht="15" customHeight="1" x14ac:dyDescent="0.25">
      <c r="N5867" s="44"/>
      <c r="O5867" s="44"/>
      <c r="P5867" s="44"/>
      <c r="Q5867" s="44"/>
      <c r="R5867" s="44"/>
      <c r="S5867" s="44"/>
      <c r="T5867" s="44"/>
      <c r="U5867" s="44"/>
      <c r="V5867" s="44"/>
      <c r="W5867" s="44"/>
      <c r="X5867" s="44"/>
      <c r="Y5867" s="44"/>
    </row>
    <row r="5868" spans="14:25" ht="15" customHeight="1" x14ac:dyDescent="0.25">
      <c r="N5868" s="44"/>
      <c r="O5868" s="44"/>
      <c r="P5868" s="44"/>
      <c r="Q5868" s="44"/>
      <c r="R5868" s="44"/>
      <c r="S5868" s="44"/>
      <c r="T5868" s="44"/>
      <c r="U5868" s="44"/>
      <c r="V5868" s="44"/>
      <c r="W5868" s="44"/>
      <c r="X5868" s="44"/>
      <c r="Y5868" s="44"/>
    </row>
    <row r="5869" spans="14:25" ht="15" customHeight="1" x14ac:dyDescent="0.25">
      <c r="N5869" s="44"/>
      <c r="O5869" s="44"/>
      <c r="P5869" s="44"/>
      <c r="Q5869" s="44"/>
      <c r="R5869" s="44"/>
      <c r="S5869" s="44"/>
      <c r="T5869" s="44"/>
      <c r="U5869" s="44"/>
      <c r="V5869" s="44"/>
      <c r="W5869" s="44"/>
      <c r="X5869" s="44"/>
      <c r="Y5869" s="44"/>
    </row>
    <row r="5870" spans="14:25" ht="15" customHeight="1" x14ac:dyDescent="0.25">
      <c r="N5870" s="44"/>
      <c r="O5870" s="44"/>
      <c r="P5870" s="44"/>
      <c r="Q5870" s="44"/>
      <c r="R5870" s="44"/>
      <c r="S5870" s="44"/>
      <c r="T5870" s="44"/>
      <c r="U5870" s="44"/>
      <c r="V5870" s="44"/>
      <c r="W5870" s="44"/>
      <c r="X5870" s="44"/>
      <c r="Y5870" s="44"/>
    </row>
    <row r="5871" spans="14:25" ht="15" customHeight="1" x14ac:dyDescent="0.25">
      <c r="N5871" s="44"/>
      <c r="O5871" s="44"/>
      <c r="P5871" s="44"/>
      <c r="Q5871" s="44"/>
      <c r="R5871" s="44"/>
      <c r="S5871" s="44"/>
      <c r="T5871" s="44"/>
      <c r="U5871" s="44"/>
      <c r="V5871" s="44"/>
      <c r="W5871" s="44"/>
      <c r="X5871" s="44"/>
      <c r="Y5871" s="44"/>
    </row>
    <row r="5872" spans="14:25" ht="15" customHeight="1" x14ac:dyDescent="0.25">
      <c r="N5872" s="44"/>
      <c r="O5872" s="44"/>
      <c r="P5872" s="44"/>
      <c r="Q5872" s="44"/>
      <c r="R5872" s="44"/>
      <c r="S5872" s="44"/>
      <c r="T5872" s="44"/>
      <c r="U5872" s="44"/>
      <c r="V5872" s="44"/>
      <c r="W5872" s="44"/>
      <c r="X5872" s="44"/>
      <c r="Y5872" s="44"/>
    </row>
    <row r="5873" spans="14:25" ht="15" customHeight="1" x14ac:dyDescent="0.25">
      <c r="N5873" s="44"/>
      <c r="O5873" s="44"/>
      <c r="P5873" s="44"/>
      <c r="Q5873" s="44"/>
      <c r="R5873" s="44"/>
      <c r="S5873" s="44"/>
      <c r="T5873" s="44"/>
      <c r="U5873" s="44"/>
      <c r="V5873" s="44"/>
      <c r="W5873" s="44"/>
      <c r="X5873" s="44"/>
      <c r="Y5873" s="44"/>
    </row>
    <row r="5874" spans="14:25" ht="15" customHeight="1" x14ac:dyDescent="0.25">
      <c r="N5874" s="44"/>
      <c r="O5874" s="44"/>
      <c r="P5874" s="44"/>
      <c r="Q5874" s="44"/>
      <c r="R5874" s="44"/>
      <c r="S5874" s="44"/>
      <c r="T5874" s="44"/>
      <c r="U5874" s="44"/>
      <c r="V5874" s="44"/>
      <c r="W5874" s="44"/>
      <c r="X5874" s="44"/>
      <c r="Y5874" s="44"/>
    </row>
    <row r="5875" spans="14:25" ht="15" customHeight="1" x14ac:dyDescent="0.25">
      <c r="N5875" s="44"/>
      <c r="O5875" s="44"/>
      <c r="P5875" s="44"/>
      <c r="Q5875" s="44"/>
      <c r="R5875" s="44"/>
      <c r="S5875" s="44"/>
      <c r="T5875" s="44"/>
      <c r="U5875" s="44"/>
      <c r="V5875" s="44"/>
      <c r="W5875" s="44"/>
      <c r="X5875" s="44"/>
      <c r="Y5875" s="44"/>
    </row>
    <row r="5876" spans="14:25" ht="15" customHeight="1" x14ac:dyDescent="0.25">
      <c r="N5876" s="44"/>
      <c r="O5876" s="44"/>
      <c r="P5876" s="44"/>
      <c r="Q5876" s="44"/>
      <c r="R5876" s="44"/>
      <c r="S5876" s="44"/>
      <c r="T5876" s="44"/>
      <c r="U5876" s="44"/>
      <c r="V5876" s="44"/>
      <c r="W5876" s="44"/>
      <c r="X5876" s="44"/>
      <c r="Y5876" s="44"/>
    </row>
    <row r="5877" spans="14:25" ht="15" customHeight="1" x14ac:dyDescent="0.25">
      <c r="N5877" s="44"/>
      <c r="O5877" s="44"/>
      <c r="P5877" s="44"/>
      <c r="Q5877" s="44"/>
      <c r="R5877" s="44"/>
      <c r="S5877" s="44"/>
      <c r="T5877" s="44"/>
      <c r="U5877" s="44"/>
      <c r="V5877" s="44"/>
      <c r="W5877" s="44"/>
      <c r="X5877" s="44"/>
      <c r="Y5877" s="44"/>
    </row>
    <row r="5878" spans="14:25" ht="15" customHeight="1" x14ac:dyDescent="0.25">
      <c r="N5878" s="44"/>
      <c r="O5878" s="44"/>
      <c r="P5878" s="44"/>
      <c r="Q5878" s="44"/>
      <c r="R5878" s="44"/>
      <c r="S5878" s="44"/>
      <c r="T5878" s="44"/>
      <c r="U5878" s="44"/>
      <c r="V5878" s="44"/>
      <c r="W5878" s="44"/>
      <c r="X5878" s="44"/>
      <c r="Y5878" s="44"/>
    </row>
    <row r="5879" spans="14:25" ht="15" customHeight="1" x14ac:dyDescent="0.25">
      <c r="N5879" s="44"/>
      <c r="O5879" s="44"/>
      <c r="P5879" s="44"/>
      <c r="Q5879" s="44"/>
      <c r="R5879" s="44"/>
      <c r="S5879" s="44"/>
      <c r="T5879" s="44"/>
      <c r="U5879" s="44"/>
      <c r="V5879" s="44"/>
      <c r="W5879" s="44"/>
      <c r="X5879" s="44"/>
      <c r="Y5879" s="44"/>
    </row>
    <row r="5880" spans="14:25" ht="15" customHeight="1" x14ac:dyDescent="0.25">
      <c r="N5880" s="44"/>
      <c r="O5880" s="44"/>
      <c r="P5880" s="44"/>
      <c r="Q5880" s="44"/>
      <c r="R5880" s="44"/>
      <c r="S5880" s="44"/>
      <c r="T5880" s="44"/>
      <c r="U5880" s="44"/>
      <c r="V5880" s="44"/>
      <c r="W5880" s="44"/>
      <c r="X5880" s="44"/>
      <c r="Y5880" s="44"/>
    </row>
    <row r="5881" spans="14:25" ht="15" customHeight="1" x14ac:dyDescent="0.25">
      <c r="N5881" s="44"/>
      <c r="O5881" s="44"/>
      <c r="P5881" s="44"/>
      <c r="Q5881" s="44"/>
      <c r="R5881" s="44"/>
      <c r="S5881" s="44"/>
      <c r="T5881" s="44"/>
      <c r="U5881" s="44"/>
      <c r="V5881" s="44"/>
      <c r="W5881" s="44"/>
      <c r="X5881" s="44"/>
      <c r="Y5881" s="44"/>
    </row>
    <row r="5882" spans="14:25" ht="15" customHeight="1" x14ac:dyDescent="0.25">
      <c r="N5882" s="44"/>
      <c r="O5882" s="44"/>
      <c r="P5882" s="44"/>
      <c r="Q5882" s="44"/>
      <c r="R5882" s="44"/>
      <c r="S5882" s="44"/>
      <c r="T5882" s="44"/>
      <c r="U5882" s="44"/>
      <c r="V5882" s="44"/>
      <c r="W5882" s="44"/>
      <c r="X5882" s="44"/>
      <c r="Y5882" s="44"/>
    </row>
    <row r="5883" spans="14:25" ht="15" customHeight="1" x14ac:dyDescent="0.25">
      <c r="N5883" s="44"/>
      <c r="O5883" s="44"/>
      <c r="P5883" s="44"/>
      <c r="Q5883" s="44"/>
      <c r="R5883" s="44"/>
      <c r="S5883" s="44"/>
      <c r="T5883" s="44"/>
      <c r="U5883" s="44"/>
      <c r="V5883" s="44"/>
      <c r="W5883" s="44"/>
      <c r="X5883" s="44"/>
      <c r="Y5883" s="44"/>
    </row>
    <row r="5884" spans="14:25" ht="15" customHeight="1" x14ac:dyDescent="0.25">
      <c r="N5884" s="44"/>
      <c r="O5884" s="44"/>
      <c r="P5884" s="44"/>
      <c r="Q5884" s="44"/>
      <c r="R5884" s="44"/>
      <c r="S5884" s="44"/>
      <c r="T5884" s="44"/>
      <c r="U5884" s="44"/>
      <c r="V5884" s="44"/>
      <c r="W5884" s="44"/>
      <c r="X5884" s="44"/>
      <c r="Y5884" s="44"/>
    </row>
    <row r="5885" spans="14:25" ht="15" customHeight="1" x14ac:dyDescent="0.25">
      <c r="N5885" s="44"/>
      <c r="O5885" s="44"/>
      <c r="P5885" s="44"/>
      <c r="Q5885" s="44"/>
      <c r="R5885" s="44"/>
      <c r="S5885" s="44"/>
      <c r="T5885" s="44"/>
      <c r="U5885" s="44"/>
      <c r="V5885" s="44"/>
      <c r="W5885" s="44"/>
      <c r="X5885" s="44"/>
      <c r="Y5885" s="44"/>
    </row>
    <row r="5886" spans="14:25" ht="15" customHeight="1" x14ac:dyDescent="0.25">
      <c r="N5886" s="44"/>
      <c r="O5886" s="44"/>
      <c r="P5886" s="44"/>
      <c r="Q5886" s="44"/>
      <c r="R5886" s="44"/>
      <c r="S5886" s="44"/>
      <c r="T5886" s="44"/>
      <c r="U5886" s="44"/>
      <c r="V5886" s="44"/>
      <c r="W5886" s="44"/>
      <c r="X5886" s="44"/>
      <c r="Y5886" s="44"/>
    </row>
    <row r="5887" spans="14:25" ht="15" customHeight="1" x14ac:dyDescent="0.25">
      <c r="N5887" s="44"/>
      <c r="O5887" s="44"/>
      <c r="P5887" s="44"/>
      <c r="Q5887" s="44"/>
      <c r="R5887" s="44"/>
      <c r="S5887" s="44"/>
      <c r="T5887" s="44"/>
      <c r="U5887" s="44"/>
      <c r="V5887" s="44"/>
      <c r="W5887" s="44"/>
      <c r="X5887" s="44"/>
      <c r="Y5887" s="44"/>
    </row>
    <row r="5888" spans="14:25" ht="15" customHeight="1" x14ac:dyDescent="0.25">
      <c r="N5888" s="44"/>
      <c r="O5888" s="44"/>
      <c r="P5888" s="44"/>
      <c r="Q5888" s="44"/>
      <c r="R5888" s="44"/>
      <c r="S5888" s="44"/>
      <c r="T5888" s="44"/>
      <c r="U5888" s="44"/>
      <c r="V5888" s="44"/>
      <c r="W5888" s="44"/>
      <c r="X5888" s="44"/>
      <c r="Y5888" s="44"/>
    </row>
    <row r="5889" spans="14:25" ht="15" customHeight="1" x14ac:dyDescent="0.25">
      <c r="N5889" s="44"/>
      <c r="O5889" s="44"/>
      <c r="P5889" s="44"/>
      <c r="Q5889" s="44"/>
      <c r="R5889" s="44"/>
      <c r="S5889" s="44"/>
      <c r="T5889" s="44"/>
      <c r="U5889" s="44"/>
      <c r="V5889" s="44"/>
      <c r="W5889" s="44"/>
      <c r="X5889" s="44"/>
      <c r="Y5889" s="44"/>
    </row>
    <row r="5890" spans="14:25" ht="15" customHeight="1" x14ac:dyDescent="0.25">
      <c r="N5890" s="44"/>
      <c r="O5890" s="44"/>
      <c r="P5890" s="44"/>
      <c r="Q5890" s="44"/>
      <c r="R5890" s="44"/>
      <c r="S5890" s="44"/>
      <c r="T5890" s="44"/>
      <c r="U5890" s="44"/>
      <c r="V5890" s="44"/>
      <c r="W5890" s="44"/>
      <c r="X5890" s="44"/>
      <c r="Y5890" s="44"/>
    </row>
    <row r="5891" spans="14:25" ht="15" customHeight="1" x14ac:dyDescent="0.25">
      <c r="N5891" s="44"/>
      <c r="O5891" s="44"/>
      <c r="P5891" s="44"/>
      <c r="Q5891" s="44"/>
      <c r="R5891" s="44"/>
      <c r="S5891" s="44"/>
      <c r="T5891" s="44"/>
      <c r="U5891" s="44"/>
      <c r="V5891" s="44"/>
      <c r="W5891" s="44"/>
      <c r="X5891" s="44"/>
      <c r="Y5891" s="44"/>
    </row>
    <row r="5892" spans="14:25" ht="15" customHeight="1" x14ac:dyDescent="0.25">
      <c r="N5892" s="44"/>
      <c r="O5892" s="44"/>
      <c r="P5892" s="44"/>
      <c r="Q5892" s="44"/>
      <c r="R5892" s="44"/>
      <c r="S5892" s="44"/>
      <c r="T5892" s="44"/>
      <c r="U5892" s="44"/>
      <c r="V5892" s="44"/>
      <c r="W5892" s="44"/>
      <c r="X5892" s="44"/>
      <c r="Y5892" s="44"/>
    </row>
    <row r="5893" spans="14:25" ht="15" customHeight="1" x14ac:dyDescent="0.25">
      <c r="N5893" s="44"/>
      <c r="O5893" s="44"/>
      <c r="P5893" s="44"/>
      <c r="Q5893" s="44"/>
      <c r="R5893" s="44"/>
      <c r="S5893" s="44"/>
      <c r="T5893" s="44"/>
      <c r="U5893" s="44"/>
      <c r="V5893" s="44"/>
      <c r="W5893" s="44"/>
      <c r="X5893" s="44"/>
      <c r="Y5893" s="44"/>
    </row>
    <row r="5894" spans="14:25" ht="15" customHeight="1" x14ac:dyDescent="0.25">
      <c r="N5894" s="44"/>
      <c r="O5894" s="44"/>
      <c r="P5894" s="44"/>
      <c r="Q5894" s="44"/>
      <c r="R5894" s="44"/>
      <c r="S5894" s="44"/>
      <c r="T5894" s="44"/>
      <c r="U5894" s="44"/>
      <c r="V5894" s="44"/>
      <c r="W5894" s="44"/>
      <c r="X5894" s="44"/>
      <c r="Y5894" s="44"/>
    </row>
    <row r="5895" spans="14:25" ht="15" customHeight="1" x14ac:dyDescent="0.25">
      <c r="N5895" s="44"/>
      <c r="O5895" s="44"/>
      <c r="P5895" s="44"/>
      <c r="Q5895" s="44"/>
      <c r="R5895" s="44"/>
      <c r="S5895" s="44"/>
      <c r="T5895" s="44"/>
      <c r="U5895" s="44"/>
      <c r="V5895" s="44"/>
      <c r="W5895" s="44"/>
      <c r="X5895" s="44"/>
      <c r="Y5895" s="44"/>
    </row>
    <row r="5896" spans="14:25" ht="15" customHeight="1" x14ac:dyDescent="0.25">
      <c r="N5896" s="44"/>
      <c r="O5896" s="44"/>
      <c r="P5896" s="44"/>
      <c r="Q5896" s="44"/>
      <c r="R5896" s="44"/>
      <c r="S5896" s="44"/>
      <c r="T5896" s="44"/>
      <c r="U5896" s="44"/>
      <c r="V5896" s="44"/>
      <c r="W5896" s="44"/>
      <c r="X5896" s="44"/>
      <c r="Y5896" s="44"/>
    </row>
    <row r="5897" spans="14:25" ht="15" customHeight="1" x14ac:dyDescent="0.25">
      <c r="N5897" s="44"/>
      <c r="O5897" s="44"/>
      <c r="P5897" s="44"/>
      <c r="Q5897" s="44"/>
      <c r="R5897" s="44"/>
      <c r="S5897" s="44"/>
      <c r="T5897" s="44"/>
      <c r="U5897" s="44"/>
      <c r="V5897" s="44"/>
      <c r="W5897" s="44"/>
      <c r="X5897" s="44"/>
      <c r="Y5897" s="44"/>
    </row>
    <row r="5898" spans="14:25" ht="15" customHeight="1" x14ac:dyDescent="0.25">
      <c r="N5898" s="44"/>
      <c r="O5898" s="44"/>
      <c r="P5898" s="44"/>
      <c r="Q5898" s="44"/>
      <c r="R5898" s="44"/>
      <c r="S5898" s="44"/>
      <c r="T5898" s="44"/>
      <c r="U5898" s="44"/>
      <c r="V5898" s="44"/>
      <c r="W5898" s="44"/>
      <c r="X5898" s="44"/>
      <c r="Y5898" s="44"/>
    </row>
    <row r="5899" spans="14:25" ht="15" customHeight="1" x14ac:dyDescent="0.25">
      <c r="N5899" s="44"/>
      <c r="O5899" s="44"/>
      <c r="P5899" s="44"/>
      <c r="Q5899" s="44"/>
      <c r="R5899" s="44"/>
      <c r="S5899" s="44"/>
      <c r="T5899" s="44"/>
      <c r="U5899" s="44"/>
      <c r="V5899" s="44"/>
      <c r="W5899" s="44"/>
      <c r="X5899" s="44"/>
      <c r="Y5899" s="44"/>
    </row>
    <row r="5900" spans="14:25" ht="15" customHeight="1" x14ac:dyDescent="0.25">
      <c r="N5900" s="44"/>
      <c r="O5900" s="44"/>
      <c r="P5900" s="44"/>
      <c r="Q5900" s="44"/>
      <c r="R5900" s="44"/>
      <c r="S5900" s="44"/>
      <c r="T5900" s="44"/>
      <c r="U5900" s="44"/>
      <c r="V5900" s="44"/>
      <c r="W5900" s="44"/>
      <c r="X5900" s="44"/>
      <c r="Y5900" s="44"/>
    </row>
    <row r="5901" spans="14:25" ht="15" customHeight="1" x14ac:dyDescent="0.25">
      <c r="N5901" s="44"/>
      <c r="O5901" s="44"/>
      <c r="P5901" s="44"/>
      <c r="Q5901" s="44"/>
      <c r="R5901" s="44"/>
      <c r="S5901" s="44"/>
      <c r="T5901" s="44"/>
      <c r="U5901" s="44"/>
      <c r="V5901" s="44"/>
      <c r="W5901" s="44"/>
      <c r="X5901" s="44"/>
      <c r="Y5901" s="44"/>
    </row>
    <row r="5902" spans="14:25" ht="15" customHeight="1" x14ac:dyDescent="0.25">
      <c r="N5902" s="44"/>
      <c r="O5902" s="44"/>
      <c r="P5902" s="44"/>
      <c r="Q5902" s="44"/>
      <c r="R5902" s="44"/>
      <c r="S5902" s="44"/>
      <c r="T5902" s="44"/>
      <c r="U5902" s="44"/>
      <c r="V5902" s="44"/>
      <c r="W5902" s="44"/>
      <c r="X5902" s="44"/>
      <c r="Y5902" s="44"/>
    </row>
    <row r="5903" spans="14:25" ht="15" customHeight="1" x14ac:dyDescent="0.25">
      <c r="N5903" s="44"/>
      <c r="O5903" s="44"/>
      <c r="P5903" s="44"/>
      <c r="Q5903" s="44"/>
      <c r="R5903" s="44"/>
      <c r="S5903" s="44"/>
      <c r="T5903" s="44"/>
      <c r="U5903" s="44"/>
      <c r="V5903" s="44"/>
      <c r="W5903" s="44"/>
      <c r="X5903" s="44"/>
      <c r="Y5903" s="44"/>
    </row>
    <row r="5904" spans="14:25" ht="15" customHeight="1" x14ac:dyDescent="0.25">
      <c r="N5904" s="44"/>
      <c r="O5904" s="44"/>
      <c r="P5904" s="44"/>
      <c r="Q5904" s="44"/>
      <c r="R5904" s="44"/>
      <c r="S5904" s="44"/>
      <c r="T5904" s="44"/>
      <c r="U5904" s="44"/>
      <c r="V5904" s="44"/>
      <c r="W5904" s="44"/>
      <c r="X5904" s="44"/>
      <c r="Y5904" s="44"/>
    </row>
    <row r="5905" spans="14:25" ht="15" customHeight="1" x14ac:dyDescent="0.25">
      <c r="N5905" s="44"/>
      <c r="O5905" s="44"/>
      <c r="P5905" s="44"/>
      <c r="Q5905" s="44"/>
      <c r="R5905" s="44"/>
      <c r="S5905" s="44"/>
      <c r="T5905" s="44"/>
      <c r="U5905" s="44"/>
      <c r="V5905" s="44"/>
      <c r="W5905" s="44"/>
      <c r="X5905" s="44"/>
      <c r="Y5905" s="44"/>
    </row>
    <row r="5906" spans="14:25" ht="15" customHeight="1" x14ac:dyDescent="0.25">
      <c r="N5906" s="44"/>
      <c r="O5906" s="44"/>
      <c r="P5906" s="44"/>
      <c r="Q5906" s="44"/>
      <c r="R5906" s="44"/>
      <c r="S5906" s="44"/>
      <c r="T5906" s="44"/>
      <c r="U5906" s="44"/>
      <c r="V5906" s="44"/>
      <c r="W5906" s="44"/>
      <c r="X5906" s="44"/>
      <c r="Y5906" s="44"/>
    </row>
    <row r="5907" spans="14:25" ht="15" customHeight="1" x14ac:dyDescent="0.25">
      <c r="N5907" s="44"/>
      <c r="O5907" s="44"/>
      <c r="P5907" s="44"/>
      <c r="Q5907" s="44"/>
      <c r="R5907" s="44"/>
      <c r="S5907" s="44"/>
      <c r="T5907" s="44"/>
      <c r="U5907" s="44"/>
      <c r="V5907" s="44"/>
      <c r="W5907" s="44"/>
      <c r="X5907" s="44"/>
      <c r="Y5907" s="44"/>
    </row>
    <row r="5908" spans="14:25" ht="15" customHeight="1" x14ac:dyDescent="0.25">
      <c r="N5908" s="44"/>
      <c r="O5908" s="44"/>
      <c r="P5908" s="44"/>
      <c r="Q5908" s="44"/>
      <c r="R5908" s="44"/>
      <c r="S5908" s="44"/>
      <c r="T5908" s="44"/>
      <c r="U5908" s="44"/>
      <c r="V5908" s="44"/>
      <c r="W5908" s="44"/>
      <c r="X5908" s="44"/>
      <c r="Y5908" s="44"/>
    </row>
    <row r="5909" spans="14:25" ht="15" customHeight="1" x14ac:dyDescent="0.25">
      <c r="N5909" s="44"/>
      <c r="O5909" s="44"/>
      <c r="P5909" s="44"/>
      <c r="Q5909" s="44"/>
      <c r="R5909" s="44"/>
      <c r="S5909" s="44"/>
      <c r="T5909" s="44"/>
      <c r="U5909" s="44"/>
      <c r="V5909" s="44"/>
      <c r="W5909" s="44"/>
      <c r="X5909" s="44"/>
      <c r="Y5909" s="44"/>
    </row>
    <row r="5910" spans="14:25" ht="15" customHeight="1" x14ac:dyDescent="0.25">
      <c r="N5910" s="44"/>
      <c r="O5910" s="44"/>
      <c r="P5910" s="44"/>
      <c r="Q5910" s="44"/>
      <c r="R5910" s="44"/>
      <c r="S5910" s="44"/>
      <c r="T5910" s="44"/>
      <c r="U5910" s="44"/>
      <c r="V5910" s="44"/>
      <c r="W5910" s="44"/>
      <c r="X5910" s="44"/>
      <c r="Y5910" s="44"/>
    </row>
    <row r="5911" spans="14:25" ht="15" customHeight="1" x14ac:dyDescent="0.25">
      <c r="N5911" s="44"/>
      <c r="O5911" s="44"/>
      <c r="P5911" s="44"/>
      <c r="Q5911" s="44"/>
      <c r="R5911" s="44"/>
      <c r="S5911" s="44"/>
      <c r="T5911" s="44"/>
      <c r="U5911" s="44"/>
      <c r="V5911" s="44"/>
      <c r="W5911" s="44"/>
      <c r="X5911" s="44"/>
      <c r="Y5911" s="44"/>
    </row>
    <row r="5912" spans="14:25" ht="15" customHeight="1" x14ac:dyDescent="0.25">
      <c r="N5912" s="44"/>
      <c r="O5912" s="44"/>
      <c r="P5912" s="44"/>
      <c r="Q5912" s="44"/>
      <c r="R5912" s="44"/>
      <c r="S5912" s="44"/>
      <c r="T5912" s="44"/>
      <c r="U5912" s="44"/>
      <c r="V5912" s="44"/>
      <c r="W5912" s="44"/>
      <c r="X5912" s="44"/>
      <c r="Y5912" s="44"/>
    </row>
    <row r="5913" spans="14:25" ht="15" customHeight="1" x14ac:dyDescent="0.25">
      <c r="N5913" s="44"/>
      <c r="O5913" s="44"/>
      <c r="P5913" s="44"/>
      <c r="Q5913" s="44"/>
      <c r="R5913" s="44"/>
      <c r="S5913" s="44"/>
      <c r="T5913" s="44"/>
      <c r="U5913" s="44"/>
      <c r="V5913" s="44"/>
      <c r="W5913" s="44"/>
      <c r="X5913" s="44"/>
      <c r="Y5913" s="44"/>
    </row>
    <row r="5914" spans="14:25" ht="15" customHeight="1" x14ac:dyDescent="0.25">
      <c r="N5914" s="44"/>
      <c r="O5914" s="44"/>
      <c r="P5914" s="44"/>
      <c r="Q5914" s="44"/>
      <c r="R5914" s="44"/>
      <c r="S5914" s="44"/>
      <c r="T5914" s="44"/>
      <c r="U5914" s="44"/>
      <c r="V5914" s="44"/>
      <c r="W5914" s="44"/>
      <c r="X5914" s="44"/>
      <c r="Y5914" s="44"/>
    </row>
    <row r="5915" spans="14:25" ht="15" customHeight="1" x14ac:dyDescent="0.25">
      <c r="N5915" s="44"/>
      <c r="O5915" s="44"/>
      <c r="P5915" s="44"/>
      <c r="Q5915" s="44"/>
      <c r="R5915" s="44"/>
      <c r="S5915" s="44"/>
      <c r="T5915" s="44"/>
      <c r="U5915" s="44"/>
      <c r="V5915" s="44"/>
      <c r="W5915" s="44"/>
      <c r="X5915" s="44"/>
      <c r="Y5915" s="44"/>
    </row>
    <row r="5916" spans="14:25" ht="15" customHeight="1" x14ac:dyDescent="0.25">
      <c r="N5916" s="44"/>
      <c r="O5916" s="44"/>
      <c r="P5916" s="44"/>
      <c r="Q5916" s="44"/>
      <c r="R5916" s="44"/>
      <c r="S5916" s="44"/>
      <c r="T5916" s="44"/>
      <c r="U5916" s="44"/>
      <c r="V5916" s="44"/>
      <c r="W5916" s="44"/>
      <c r="X5916" s="44"/>
      <c r="Y5916" s="44"/>
    </row>
    <row r="5917" spans="14:25" ht="15" customHeight="1" x14ac:dyDescent="0.25">
      <c r="N5917" s="44"/>
      <c r="O5917" s="44"/>
      <c r="P5917" s="44"/>
      <c r="Q5917" s="44"/>
      <c r="R5917" s="44"/>
      <c r="S5917" s="44"/>
      <c r="T5917" s="44"/>
      <c r="U5917" s="44"/>
      <c r="V5917" s="44"/>
      <c r="W5917" s="44"/>
      <c r="X5917" s="44"/>
      <c r="Y5917" s="44"/>
    </row>
    <row r="5918" spans="14:25" ht="15" customHeight="1" x14ac:dyDescent="0.25">
      <c r="N5918" s="44"/>
      <c r="O5918" s="44"/>
      <c r="P5918" s="44"/>
      <c r="Q5918" s="44"/>
      <c r="R5918" s="44"/>
      <c r="S5918" s="44"/>
      <c r="T5918" s="44"/>
      <c r="U5918" s="44"/>
      <c r="V5918" s="44"/>
      <c r="W5918" s="44"/>
      <c r="X5918" s="44"/>
      <c r="Y5918" s="44"/>
    </row>
    <row r="5919" spans="14:25" ht="15" customHeight="1" x14ac:dyDescent="0.25">
      <c r="N5919" s="44"/>
      <c r="O5919" s="44"/>
      <c r="P5919" s="44"/>
      <c r="Q5919" s="44"/>
      <c r="R5919" s="44"/>
      <c r="S5919" s="44"/>
      <c r="T5919" s="44"/>
      <c r="U5919" s="44"/>
      <c r="V5919" s="44"/>
      <c r="W5919" s="44"/>
      <c r="X5919" s="44"/>
      <c r="Y5919" s="44"/>
    </row>
    <row r="5920" spans="14:25" ht="15" customHeight="1" x14ac:dyDescent="0.25">
      <c r="N5920" s="44"/>
      <c r="O5920" s="44"/>
      <c r="P5920" s="44"/>
      <c r="Q5920" s="44"/>
      <c r="R5920" s="44"/>
      <c r="S5920" s="44"/>
      <c r="T5920" s="44"/>
      <c r="U5920" s="44"/>
      <c r="V5920" s="44"/>
      <c r="W5920" s="44"/>
      <c r="X5920" s="44"/>
      <c r="Y5920" s="44"/>
    </row>
    <row r="5921" spans="14:25" ht="15" customHeight="1" x14ac:dyDescent="0.25">
      <c r="N5921" s="44"/>
      <c r="O5921" s="44"/>
      <c r="P5921" s="44"/>
      <c r="Q5921" s="44"/>
      <c r="R5921" s="44"/>
      <c r="S5921" s="44"/>
      <c r="T5921" s="44"/>
      <c r="U5921" s="44"/>
      <c r="V5921" s="44"/>
      <c r="W5921" s="44"/>
      <c r="X5921" s="44"/>
      <c r="Y5921" s="44"/>
    </row>
    <row r="5922" spans="14:25" ht="15" customHeight="1" x14ac:dyDescent="0.25">
      <c r="N5922" s="44"/>
      <c r="O5922" s="44"/>
      <c r="P5922" s="44"/>
      <c r="Q5922" s="44"/>
      <c r="R5922" s="44"/>
      <c r="S5922" s="44"/>
      <c r="T5922" s="44"/>
      <c r="U5922" s="44"/>
      <c r="V5922" s="44"/>
      <c r="W5922" s="44"/>
      <c r="X5922" s="44"/>
      <c r="Y5922" s="44"/>
    </row>
    <row r="5923" spans="14:25" ht="15" customHeight="1" x14ac:dyDescent="0.25">
      <c r="N5923" s="44"/>
      <c r="O5923" s="44"/>
      <c r="P5923" s="44"/>
      <c r="Q5923" s="44"/>
      <c r="R5923" s="44"/>
      <c r="S5923" s="44"/>
      <c r="T5923" s="44"/>
      <c r="U5923" s="44"/>
      <c r="V5923" s="44"/>
      <c r="W5923" s="44"/>
      <c r="X5923" s="44"/>
      <c r="Y5923" s="44"/>
    </row>
    <row r="5924" spans="14:25" ht="15" customHeight="1" x14ac:dyDescent="0.25">
      <c r="N5924" s="44"/>
      <c r="O5924" s="44"/>
      <c r="P5924" s="44"/>
      <c r="Q5924" s="44"/>
      <c r="R5924" s="44"/>
      <c r="S5924" s="44"/>
      <c r="T5924" s="44"/>
      <c r="U5924" s="44"/>
      <c r="V5924" s="44"/>
      <c r="W5924" s="44"/>
      <c r="X5924" s="44"/>
      <c r="Y5924" s="44"/>
    </row>
    <row r="5925" spans="14:25" ht="15" customHeight="1" x14ac:dyDescent="0.25">
      <c r="N5925" s="44"/>
      <c r="O5925" s="44"/>
      <c r="P5925" s="44"/>
      <c r="Q5925" s="44"/>
      <c r="R5925" s="44"/>
      <c r="S5925" s="44"/>
      <c r="T5925" s="44"/>
      <c r="U5925" s="44"/>
      <c r="V5925" s="44"/>
      <c r="W5925" s="44"/>
      <c r="X5925" s="44"/>
      <c r="Y5925" s="44"/>
    </row>
    <row r="5926" spans="14:25" ht="15" customHeight="1" x14ac:dyDescent="0.25">
      <c r="N5926" s="44"/>
      <c r="O5926" s="44"/>
      <c r="P5926" s="44"/>
      <c r="Q5926" s="44"/>
      <c r="R5926" s="44"/>
      <c r="S5926" s="44"/>
      <c r="T5926" s="44"/>
      <c r="U5926" s="44"/>
      <c r="V5926" s="44"/>
      <c r="W5926" s="44"/>
      <c r="X5926" s="44"/>
      <c r="Y5926" s="44"/>
    </row>
    <row r="5927" spans="14:25" ht="15" customHeight="1" x14ac:dyDescent="0.25">
      <c r="N5927" s="44"/>
      <c r="O5927" s="44"/>
      <c r="P5927" s="44"/>
      <c r="Q5927" s="44"/>
      <c r="R5927" s="44"/>
      <c r="S5927" s="44"/>
      <c r="T5927" s="44"/>
      <c r="U5927" s="44"/>
      <c r="V5927" s="44"/>
      <c r="W5927" s="44"/>
      <c r="X5927" s="44"/>
      <c r="Y5927" s="44"/>
    </row>
    <row r="5928" spans="14:25" ht="15" customHeight="1" x14ac:dyDescent="0.25">
      <c r="N5928" s="44"/>
      <c r="O5928" s="44"/>
      <c r="P5928" s="44"/>
      <c r="Q5928" s="44"/>
      <c r="R5928" s="44"/>
      <c r="S5928" s="44"/>
      <c r="T5928" s="44"/>
      <c r="U5928" s="44"/>
      <c r="V5928" s="44"/>
      <c r="W5928" s="44"/>
      <c r="X5928" s="44"/>
      <c r="Y5928" s="44"/>
    </row>
    <row r="5929" spans="14:25" ht="15" customHeight="1" x14ac:dyDescent="0.25">
      <c r="N5929" s="44"/>
      <c r="O5929" s="44"/>
      <c r="P5929" s="44"/>
      <c r="Q5929" s="44"/>
      <c r="R5929" s="44"/>
      <c r="S5929" s="44"/>
      <c r="T5929" s="44"/>
      <c r="U5929" s="44"/>
      <c r="V5929" s="44"/>
      <c r="W5929" s="44"/>
      <c r="X5929" s="44"/>
      <c r="Y5929" s="44"/>
    </row>
    <row r="5930" spans="14:25" ht="15" customHeight="1" x14ac:dyDescent="0.25">
      <c r="N5930" s="44"/>
      <c r="O5930" s="44"/>
      <c r="P5930" s="44"/>
      <c r="Q5930" s="44"/>
      <c r="R5930" s="44"/>
      <c r="S5930" s="44"/>
      <c r="T5930" s="44"/>
      <c r="U5930" s="44"/>
      <c r="V5930" s="44"/>
      <c r="W5930" s="44"/>
      <c r="X5930" s="44"/>
      <c r="Y5930" s="44"/>
    </row>
    <row r="5931" spans="14:25" ht="15" customHeight="1" x14ac:dyDescent="0.25">
      <c r="N5931" s="44"/>
      <c r="O5931" s="44"/>
      <c r="P5931" s="44"/>
      <c r="Q5931" s="44"/>
      <c r="R5931" s="44"/>
      <c r="S5931" s="44"/>
      <c r="T5931" s="44"/>
      <c r="U5931" s="44"/>
      <c r="V5931" s="44"/>
      <c r="W5931" s="44"/>
      <c r="X5931" s="44"/>
      <c r="Y5931" s="44"/>
    </row>
    <row r="5932" spans="14:25" ht="15" customHeight="1" x14ac:dyDescent="0.25">
      <c r="N5932" s="44"/>
      <c r="O5932" s="44"/>
      <c r="P5932" s="44"/>
      <c r="Q5932" s="44"/>
      <c r="R5932" s="44"/>
      <c r="S5932" s="44"/>
      <c r="T5932" s="44"/>
      <c r="U5932" s="44"/>
      <c r="V5932" s="44"/>
      <c r="W5932" s="44"/>
      <c r="X5932" s="44"/>
      <c r="Y5932" s="44"/>
    </row>
    <row r="5933" spans="14:25" ht="15" customHeight="1" x14ac:dyDescent="0.25">
      <c r="N5933" s="44"/>
      <c r="O5933" s="44"/>
      <c r="P5933" s="44"/>
      <c r="Q5933" s="44"/>
      <c r="R5933" s="44"/>
      <c r="S5933" s="44"/>
      <c r="T5933" s="44"/>
      <c r="U5933" s="44"/>
      <c r="V5933" s="44"/>
      <c r="W5933" s="44"/>
      <c r="X5933" s="44"/>
      <c r="Y5933" s="44"/>
    </row>
    <row r="5934" spans="14:25" ht="15" customHeight="1" x14ac:dyDescent="0.25">
      <c r="N5934" s="44"/>
      <c r="O5934" s="44"/>
      <c r="P5934" s="44"/>
      <c r="Q5934" s="44"/>
      <c r="R5934" s="44"/>
      <c r="S5934" s="44"/>
      <c r="T5934" s="44"/>
      <c r="U5934" s="44"/>
      <c r="V5934" s="44"/>
      <c r="W5934" s="44"/>
      <c r="X5934" s="44"/>
      <c r="Y5934" s="44"/>
    </row>
    <row r="5935" spans="14:25" ht="15" customHeight="1" x14ac:dyDescent="0.25">
      <c r="N5935" s="44"/>
      <c r="O5935" s="44"/>
      <c r="P5935" s="44"/>
      <c r="Q5935" s="44"/>
      <c r="R5935" s="44"/>
      <c r="S5935" s="44"/>
      <c r="T5935" s="44"/>
      <c r="U5935" s="44"/>
      <c r="V5935" s="44"/>
      <c r="W5935" s="44"/>
      <c r="X5935" s="44"/>
      <c r="Y5935" s="44"/>
    </row>
    <row r="5936" spans="14:25" ht="15" customHeight="1" x14ac:dyDescent="0.25">
      <c r="N5936" s="44"/>
      <c r="O5936" s="44"/>
      <c r="P5936" s="44"/>
      <c r="Q5936" s="44"/>
      <c r="R5936" s="44"/>
      <c r="S5936" s="44"/>
      <c r="T5936" s="44"/>
      <c r="U5936" s="44"/>
      <c r="V5936" s="44"/>
      <c r="W5936" s="44"/>
      <c r="X5936" s="44"/>
      <c r="Y5936" s="44"/>
    </row>
    <row r="5937" spans="14:25" ht="15" customHeight="1" x14ac:dyDescent="0.25">
      <c r="N5937" s="44"/>
      <c r="O5937" s="44"/>
      <c r="P5937" s="44"/>
      <c r="Q5937" s="44"/>
      <c r="R5937" s="44"/>
      <c r="S5937" s="44"/>
      <c r="T5937" s="44"/>
      <c r="U5937" s="44"/>
      <c r="V5937" s="44"/>
      <c r="W5937" s="44"/>
      <c r="X5937" s="44"/>
      <c r="Y5937" s="44"/>
    </row>
    <row r="5938" spans="14:25" ht="15" customHeight="1" x14ac:dyDescent="0.25">
      <c r="N5938" s="44"/>
      <c r="O5938" s="44"/>
      <c r="P5938" s="44"/>
      <c r="Q5938" s="44"/>
      <c r="R5938" s="44"/>
      <c r="S5938" s="44"/>
      <c r="T5938" s="44"/>
      <c r="U5938" s="44"/>
      <c r="V5938" s="44"/>
      <c r="W5938" s="44"/>
      <c r="X5938" s="44"/>
      <c r="Y5938" s="44"/>
    </row>
    <row r="5939" spans="14:25" ht="15" customHeight="1" x14ac:dyDescent="0.25">
      <c r="N5939" s="44"/>
      <c r="O5939" s="44"/>
      <c r="P5939" s="44"/>
      <c r="Q5939" s="44"/>
      <c r="R5939" s="44"/>
      <c r="S5939" s="44"/>
      <c r="T5939" s="44"/>
      <c r="U5939" s="44"/>
      <c r="V5939" s="44"/>
      <c r="W5939" s="44"/>
      <c r="X5939" s="44"/>
      <c r="Y5939" s="44"/>
    </row>
    <row r="5940" spans="14:25" ht="15" customHeight="1" x14ac:dyDescent="0.25">
      <c r="N5940" s="44"/>
      <c r="O5940" s="44"/>
      <c r="P5940" s="44"/>
      <c r="Q5940" s="44"/>
      <c r="R5940" s="44"/>
      <c r="S5940" s="44"/>
      <c r="T5940" s="44"/>
      <c r="U5940" s="44"/>
      <c r="V5940" s="44"/>
      <c r="W5940" s="44"/>
      <c r="X5940" s="44"/>
      <c r="Y5940" s="44"/>
    </row>
    <row r="5941" spans="14:25" ht="15" customHeight="1" x14ac:dyDescent="0.25">
      <c r="N5941" s="44"/>
      <c r="O5941" s="44"/>
      <c r="P5941" s="44"/>
      <c r="Q5941" s="44"/>
      <c r="R5941" s="44"/>
      <c r="S5941" s="44"/>
      <c r="T5941" s="44"/>
      <c r="U5941" s="44"/>
      <c r="V5941" s="44"/>
      <c r="W5941" s="44"/>
      <c r="X5941" s="44"/>
      <c r="Y5941" s="44"/>
    </row>
    <row r="5942" spans="14:25" ht="15" customHeight="1" x14ac:dyDescent="0.25">
      <c r="N5942" s="44"/>
      <c r="O5942" s="44"/>
      <c r="P5942" s="44"/>
      <c r="Q5942" s="44"/>
      <c r="R5942" s="44"/>
      <c r="S5942" s="44"/>
      <c r="T5942" s="44"/>
      <c r="U5942" s="44"/>
      <c r="V5942" s="44"/>
      <c r="W5942" s="44"/>
      <c r="X5942" s="44"/>
      <c r="Y5942" s="44"/>
    </row>
    <row r="5943" spans="14:25" ht="15" customHeight="1" x14ac:dyDescent="0.25">
      <c r="N5943" s="44"/>
      <c r="O5943" s="44"/>
      <c r="P5943" s="44"/>
      <c r="Q5943" s="44"/>
      <c r="R5943" s="44"/>
      <c r="S5943" s="44"/>
      <c r="T5943" s="44"/>
      <c r="U5943" s="44"/>
      <c r="V5943" s="44"/>
      <c r="W5943" s="44"/>
      <c r="X5943" s="44"/>
      <c r="Y5943" s="44"/>
    </row>
    <row r="5944" spans="14:25" ht="15" customHeight="1" x14ac:dyDescent="0.25">
      <c r="N5944" s="44"/>
      <c r="O5944" s="44"/>
      <c r="P5944" s="44"/>
      <c r="Q5944" s="44"/>
      <c r="R5944" s="44"/>
      <c r="S5944" s="44"/>
      <c r="T5944" s="44"/>
      <c r="U5944" s="44"/>
      <c r="V5944" s="44"/>
      <c r="W5944" s="44"/>
      <c r="X5944" s="44"/>
      <c r="Y5944" s="44"/>
    </row>
    <row r="5945" spans="14:25" ht="15" customHeight="1" x14ac:dyDescent="0.25">
      <c r="N5945" s="44"/>
      <c r="O5945" s="44"/>
      <c r="P5945" s="44"/>
      <c r="Q5945" s="44"/>
      <c r="R5945" s="44"/>
      <c r="S5945" s="44"/>
      <c r="T5945" s="44"/>
      <c r="U5945" s="44"/>
      <c r="V5945" s="44"/>
      <c r="W5945" s="44"/>
      <c r="X5945" s="44"/>
      <c r="Y5945" s="44"/>
    </row>
    <row r="5946" spans="14:25" ht="15" customHeight="1" x14ac:dyDescent="0.25">
      <c r="N5946" s="44"/>
      <c r="O5946" s="44"/>
      <c r="P5946" s="44"/>
      <c r="Q5946" s="44"/>
      <c r="R5946" s="44"/>
      <c r="S5946" s="44"/>
      <c r="T5946" s="44"/>
      <c r="U5946" s="44"/>
      <c r="V5946" s="44"/>
      <c r="W5946" s="44"/>
      <c r="X5946" s="44"/>
      <c r="Y5946" s="44"/>
    </row>
    <row r="5947" spans="14:25" ht="15" customHeight="1" x14ac:dyDescent="0.25">
      <c r="N5947" s="44"/>
      <c r="O5947" s="44"/>
      <c r="P5947" s="44"/>
      <c r="Q5947" s="44"/>
      <c r="R5947" s="44"/>
      <c r="S5947" s="44"/>
      <c r="T5947" s="44"/>
      <c r="U5947" s="44"/>
      <c r="V5947" s="44"/>
      <c r="W5947" s="44"/>
      <c r="X5947" s="44"/>
      <c r="Y5947" s="44"/>
    </row>
    <row r="5948" spans="14:25" ht="15" customHeight="1" x14ac:dyDescent="0.25">
      <c r="N5948" s="44"/>
      <c r="O5948" s="44"/>
      <c r="P5948" s="44"/>
      <c r="Q5948" s="44"/>
      <c r="R5948" s="44"/>
      <c r="S5948" s="44"/>
      <c r="T5948" s="44"/>
      <c r="U5948" s="44"/>
      <c r="V5948" s="44"/>
      <c r="W5948" s="44"/>
      <c r="X5948" s="44"/>
      <c r="Y5948" s="44"/>
    </row>
    <row r="5949" spans="14:25" ht="15" customHeight="1" x14ac:dyDescent="0.25">
      <c r="N5949" s="44"/>
      <c r="O5949" s="44"/>
      <c r="P5949" s="44"/>
      <c r="Q5949" s="44"/>
      <c r="R5949" s="44"/>
      <c r="S5949" s="44"/>
      <c r="T5949" s="44"/>
      <c r="U5949" s="44"/>
      <c r="V5949" s="44"/>
      <c r="W5949" s="44"/>
      <c r="X5949" s="44"/>
      <c r="Y5949" s="44"/>
    </row>
    <row r="5950" spans="14:25" ht="15" customHeight="1" x14ac:dyDescent="0.25">
      <c r="N5950" s="44"/>
      <c r="O5950" s="44"/>
      <c r="P5950" s="44"/>
      <c r="Q5950" s="44"/>
      <c r="R5950" s="44"/>
      <c r="S5950" s="44"/>
      <c r="T5950" s="44"/>
      <c r="U5950" s="44"/>
      <c r="V5950" s="44"/>
      <c r="W5950" s="44"/>
      <c r="X5950" s="44"/>
      <c r="Y5950" s="44"/>
    </row>
    <row r="5951" spans="14:25" ht="15" customHeight="1" x14ac:dyDescent="0.25">
      <c r="N5951" s="44"/>
      <c r="O5951" s="44"/>
      <c r="P5951" s="44"/>
      <c r="Q5951" s="44"/>
      <c r="R5951" s="44"/>
      <c r="S5951" s="44"/>
      <c r="T5951" s="44"/>
      <c r="U5951" s="44"/>
      <c r="V5951" s="44"/>
      <c r="W5951" s="44"/>
      <c r="X5951" s="44"/>
      <c r="Y5951" s="44"/>
    </row>
    <row r="5952" spans="14:25" ht="15" customHeight="1" x14ac:dyDescent="0.25">
      <c r="N5952" s="44"/>
      <c r="O5952" s="44"/>
      <c r="P5952" s="44"/>
      <c r="Q5952" s="44"/>
      <c r="R5952" s="44"/>
      <c r="S5952" s="44"/>
      <c r="T5952" s="44"/>
      <c r="U5952" s="44"/>
      <c r="V5952" s="44"/>
      <c r="W5952" s="44"/>
      <c r="X5952" s="44"/>
      <c r="Y5952" s="44"/>
    </row>
    <row r="5953" spans="14:25" ht="15" customHeight="1" x14ac:dyDescent="0.25">
      <c r="N5953" s="44"/>
      <c r="O5953" s="44"/>
      <c r="P5953" s="44"/>
      <c r="Q5953" s="44"/>
      <c r="R5953" s="44"/>
      <c r="S5953" s="44"/>
      <c r="T5953" s="44"/>
      <c r="U5953" s="44"/>
      <c r="V5953" s="44"/>
      <c r="W5953" s="44"/>
      <c r="X5953" s="44"/>
      <c r="Y5953" s="44"/>
    </row>
    <row r="5954" spans="14:25" ht="15" customHeight="1" x14ac:dyDescent="0.25">
      <c r="N5954" s="44"/>
      <c r="O5954" s="44"/>
      <c r="P5954" s="44"/>
      <c r="Q5954" s="44"/>
      <c r="R5954" s="44"/>
      <c r="S5954" s="44"/>
      <c r="T5954" s="44"/>
      <c r="U5954" s="44"/>
      <c r="V5954" s="44"/>
      <c r="W5954" s="44"/>
      <c r="X5954" s="44"/>
      <c r="Y5954" s="44"/>
    </row>
    <row r="5955" spans="14:25" ht="15" customHeight="1" x14ac:dyDescent="0.25">
      <c r="N5955" s="44"/>
      <c r="O5955" s="44"/>
      <c r="P5955" s="44"/>
      <c r="Q5955" s="44"/>
      <c r="R5955" s="44"/>
      <c r="S5955" s="44"/>
      <c r="T5955" s="44"/>
      <c r="U5955" s="44"/>
      <c r="V5955" s="44"/>
      <c r="W5955" s="44"/>
      <c r="X5955" s="44"/>
      <c r="Y5955" s="44"/>
    </row>
    <row r="5956" spans="14:25" ht="15" customHeight="1" x14ac:dyDescent="0.25">
      <c r="N5956" s="44"/>
      <c r="O5956" s="44"/>
      <c r="P5956" s="44"/>
      <c r="Q5956" s="44"/>
      <c r="R5956" s="44"/>
      <c r="S5956" s="44"/>
      <c r="T5956" s="44"/>
      <c r="U5956" s="44"/>
      <c r="V5956" s="44"/>
      <c r="W5956" s="44"/>
      <c r="X5956" s="44"/>
      <c r="Y5956" s="44"/>
    </row>
    <row r="5957" spans="14:25" ht="15" customHeight="1" x14ac:dyDescent="0.25">
      <c r="N5957" s="44"/>
      <c r="O5957" s="44"/>
      <c r="P5957" s="44"/>
      <c r="Q5957" s="44"/>
      <c r="R5957" s="44"/>
      <c r="S5957" s="44"/>
      <c r="T5957" s="44"/>
      <c r="U5957" s="44"/>
      <c r="V5957" s="44"/>
      <c r="W5957" s="44"/>
      <c r="X5957" s="44"/>
      <c r="Y5957" s="44"/>
    </row>
    <row r="5958" spans="14:25" ht="15" customHeight="1" x14ac:dyDescent="0.25">
      <c r="N5958" s="44"/>
      <c r="O5958" s="44"/>
      <c r="P5958" s="44"/>
      <c r="Q5958" s="44"/>
      <c r="R5958" s="44"/>
      <c r="S5958" s="44"/>
      <c r="T5958" s="44"/>
      <c r="U5958" s="44"/>
      <c r="V5958" s="44"/>
      <c r="W5958" s="44"/>
      <c r="X5958" s="44"/>
      <c r="Y5958" s="44"/>
    </row>
    <row r="5959" spans="14:25" ht="15" customHeight="1" x14ac:dyDescent="0.25">
      <c r="N5959" s="44"/>
      <c r="O5959" s="44"/>
      <c r="P5959" s="44"/>
      <c r="Q5959" s="44"/>
      <c r="R5959" s="44"/>
      <c r="S5959" s="44"/>
      <c r="T5959" s="44"/>
      <c r="U5959" s="44"/>
      <c r="V5959" s="44"/>
      <c r="W5959" s="44"/>
      <c r="X5959" s="44"/>
      <c r="Y5959" s="44"/>
    </row>
    <row r="5960" spans="14:25" ht="15" customHeight="1" x14ac:dyDescent="0.25">
      <c r="N5960" s="44"/>
      <c r="O5960" s="44"/>
      <c r="P5960" s="44"/>
      <c r="Q5960" s="44"/>
      <c r="R5960" s="44"/>
      <c r="S5960" s="44"/>
      <c r="T5960" s="44"/>
      <c r="U5960" s="44"/>
      <c r="V5960" s="44"/>
      <c r="W5960" s="44"/>
      <c r="X5960" s="44"/>
      <c r="Y5960" s="44"/>
    </row>
    <row r="5961" spans="14:25" ht="15" customHeight="1" x14ac:dyDescent="0.25">
      <c r="N5961" s="44"/>
      <c r="O5961" s="44"/>
      <c r="P5961" s="44"/>
      <c r="Q5961" s="44"/>
      <c r="R5961" s="44"/>
      <c r="S5961" s="44"/>
      <c r="T5961" s="44"/>
      <c r="U5961" s="44"/>
      <c r="V5961" s="44"/>
      <c r="W5961" s="44"/>
      <c r="X5961" s="44"/>
      <c r="Y5961" s="44"/>
    </row>
    <row r="5962" spans="14:25" ht="15" customHeight="1" x14ac:dyDescent="0.25">
      <c r="N5962" s="44"/>
      <c r="O5962" s="44"/>
      <c r="P5962" s="44"/>
      <c r="Q5962" s="44"/>
      <c r="R5962" s="44"/>
      <c r="S5962" s="44"/>
      <c r="T5962" s="44"/>
      <c r="U5962" s="44"/>
      <c r="V5962" s="44"/>
      <c r="W5962" s="44"/>
      <c r="X5962" s="44"/>
      <c r="Y5962" s="44"/>
    </row>
    <row r="5963" spans="14:25" ht="15" customHeight="1" x14ac:dyDescent="0.25">
      <c r="N5963" s="44"/>
      <c r="O5963" s="44"/>
      <c r="P5963" s="44"/>
      <c r="Q5963" s="44"/>
      <c r="R5963" s="44"/>
      <c r="S5963" s="44"/>
      <c r="T5963" s="44"/>
      <c r="U5963" s="44"/>
      <c r="V5963" s="44"/>
      <c r="W5963" s="44"/>
      <c r="X5963" s="44"/>
      <c r="Y5963" s="44"/>
    </row>
    <row r="5964" spans="14:25" ht="15" customHeight="1" x14ac:dyDescent="0.25">
      <c r="N5964" s="44"/>
      <c r="O5964" s="44"/>
      <c r="P5964" s="44"/>
      <c r="Q5964" s="44"/>
      <c r="R5964" s="44"/>
      <c r="S5964" s="44"/>
      <c r="T5964" s="44"/>
      <c r="U5964" s="44"/>
      <c r="V5964" s="44"/>
      <c r="W5964" s="44"/>
      <c r="X5964" s="44"/>
      <c r="Y5964" s="44"/>
    </row>
    <row r="5965" spans="14:25" ht="15" customHeight="1" x14ac:dyDescent="0.25">
      <c r="N5965" s="44"/>
      <c r="O5965" s="44"/>
      <c r="P5965" s="44"/>
      <c r="Q5965" s="44"/>
      <c r="R5965" s="44"/>
      <c r="S5965" s="44"/>
      <c r="T5965" s="44"/>
      <c r="U5965" s="44"/>
      <c r="V5965" s="44"/>
      <c r="W5965" s="44"/>
      <c r="X5965" s="44"/>
      <c r="Y5965" s="44"/>
    </row>
    <row r="5966" spans="14:25" ht="15" customHeight="1" x14ac:dyDescent="0.25">
      <c r="N5966" s="44"/>
      <c r="O5966" s="44"/>
      <c r="P5966" s="44"/>
      <c r="Q5966" s="44"/>
      <c r="R5966" s="44"/>
      <c r="S5966" s="44"/>
      <c r="T5966" s="44"/>
      <c r="U5966" s="44"/>
      <c r="V5966" s="44"/>
      <c r="W5966" s="44"/>
      <c r="X5966" s="44"/>
      <c r="Y5966" s="44"/>
    </row>
    <row r="5967" spans="14:25" ht="15" customHeight="1" x14ac:dyDescent="0.25">
      <c r="N5967" s="44"/>
      <c r="O5967" s="44"/>
      <c r="P5967" s="44"/>
      <c r="Q5967" s="44"/>
      <c r="R5967" s="44"/>
      <c r="S5967" s="44"/>
      <c r="T5967" s="44"/>
      <c r="U5967" s="44"/>
      <c r="V5967" s="44"/>
      <c r="W5967" s="44"/>
      <c r="X5967" s="44"/>
      <c r="Y5967" s="44"/>
    </row>
    <row r="5968" spans="14:25" ht="15" customHeight="1" x14ac:dyDescent="0.25">
      <c r="N5968" s="44"/>
      <c r="O5968" s="44"/>
      <c r="P5968" s="44"/>
      <c r="Q5968" s="44"/>
      <c r="R5968" s="44"/>
      <c r="S5968" s="44"/>
      <c r="T5968" s="44"/>
      <c r="U5968" s="44"/>
      <c r="V5968" s="44"/>
      <c r="W5968" s="44"/>
      <c r="X5968" s="44"/>
      <c r="Y5968" s="44"/>
    </row>
    <row r="5969" spans="14:25" ht="15" customHeight="1" x14ac:dyDescent="0.25">
      <c r="N5969" s="44"/>
      <c r="O5969" s="44"/>
      <c r="P5969" s="44"/>
      <c r="Q5969" s="44"/>
      <c r="R5969" s="44"/>
      <c r="S5969" s="44"/>
      <c r="T5969" s="44"/>
      <c r="U5969" s="44"/>
      <c r="V5969" s="44"/>
      <c r="W5969" s="44"/>
      <c r="X5969" s="44"/>
      <c r="Y5969" s="44"/>
    </row>
    <row r="5970" spans="14:25" ht="15" customHeight="1" x14ac:dyDescent="0.25">
      <c r="N5970" s="44"/>
      <c r="O5970" s="44"/>
      <c r="P5970" s="44"/>
      <c r="Q5970" s="44"/>
      <c r="R5970" s="44"/>
      <c r="S5970" s="44"/>
      <c r="T5970" s="44"/>
      <c r="U5970" s="44"/>
      <c r="V5970" s="44"/>
      <c r="W5970" s="44"/>
      <c r="X5970" s="44"/>
      <c r="Y5970" s="44"/>
    </row>
    <row r="5971" spans="14:25" ht="15" customHeight="1" x14ac:dyDescent="0.25">
      <c r="N5971" s="44"/>
      <c r="O5971" s="44"/>
      <c r="P5971" s="44"/>
      <c r="Q5971" s="44"/>
      <c r="R5971" s="44"/>
      <c r="S5971" s="44"/>
      <c r="T5971" s="44"/>
      <c r="U5971" s="44"/>
      <c r="V5971" s="44"/>
      <c r="W5971" s="44"/>
      <c r="X5971" s="44"/>
      <c r="Y5971" s="44"/>
    </row>
    <row r="5972" spans="14:25" ht="15" customHeight="1" x14ac:dyDescent="0.25">
      <c r="N5972" s="44"/>
      <c r="O5972" s="44"/>
      <c r="P5972" s="44"/>
      <c r="Q5972" s="44"/>
      <c r="R5972" s="44"/>
      <c r="S5972" s="44"/>
      <c r="T5972" s="44"/>
      <c r="U5972" s="44"/>
      <c r="V5972" s="44"/>
      <c r="W5972" s="44"/>
      <c r="X5972" s="44"/>
      <c r="Y5972" s="44"/>
    </row>
    <row r="5973" spans="14:25" ht="15" customHeight="1" x14ac:dyDescent="0.25">
      <c r="N5973" s="44"/>
      <c r="O5973" s="44"/>
      <c r="P5973" s="44"/>
      <c r="Q5973" s="44"/>
      <c r="R5973" s="44"/>
      <c r="S5973" s="44"/>
      <c r="T5973" s="44"/>
      <c r="U5973" s="44"/>
      <c r="V5973" s="44"/>
      <c r="W5973" s="44"/>
      <c r="X5973" s="44"/>
      <c r="Y5973" s="44"/>
    </row>
    <row r="5974" spans="14:25" ht="15" customHeight="1" x14ac:dyDescent="0.25">
      <c r="N5974" s="44"/>
      <c r="O5974" s="44"/>
      <c r="P5974" s="44"/>
      <c r="Q5974" s="44"/>
      <c r="R5974" s="44"/>
      <c r="S5974" s="44"/>
      <c r="T5974" s="44"/>
      <c r="U5974" s="44"/>
      <c r="V5974" s="44"/>
      <c r="W5974" s="44"/>
      <c r="X5974" s="44"/>
      <c r="Y5974" s="44"/>
    </row>
    <row r="5975" spans="14:25" ht="15" customHeight="1" x14ac:dyDescent="0.25">
      <c r="N5975" s="44"/>
      <c r="O5975" s="44"/>
      <c r="P5975" s="44"/>
      <c r="Q5975" s="44"/>
      <c r="R5975" s="44"/>
      <c r="S5975" s="44"/>
      <c r="T5975" s="44"/>
      <c r="U5975" s="44"/>
      <c r="V5975" s="44"/>
      <c r="W5975" s="44"/>
      <c r="X5975" s="44"/>
      <c r="Y5975" s="44"/>
    </row>
    <row r="5976" spans="14:25" ht="15" customHeight="1" x14ac:dyDescent="0.25">
      <c r="N5976" s="44"/>
      <c r="O5976" s="44"/>
      <c r="P5976" s="44"/>
      <c r="Q5976" s="44"/>
      <c r="R5976" s="44"/>
      <c r="S5976" s="44"/>
      <c r="T5976" s="44"/>
      <c r="U5976" s="44"/>
      <c r="V5976" s="44"/>
      <c r="W5976" s="44"/>
      <c r="X5976" s="44"/>
      <c r="Y5976" s="44"/>
    </row>
    <row r="5977" spans="14:25" ht="15" customHeight="1" x14ac:dyDescent="0.25">
      <c r="N5977" s="44"/>
      <c r="O5977" s="44"/>
      <c r="P5977" s="44"/>
      <c r="Q5977" s="44"/>
      <c r="R5977" s="44"/>
      <c r="S5977" s="44"/>
      <c r="T5977" s="44"/>
      <c r="U5977" s="44"/>
      <c r="V5977" s="44"/>
      <c r="W5977" s="44"/>
      <c r="X5977" s="44"/>
      <c r="Y5977" s="44"/>
    </row>
    <row r="5978" spans="14:25" ht="15" customHeight="1" x14ac:dyDescent="0.25">
      <c r="N5978" s="44"/>
      <c r="O5978" s="44"/>
      <c r="P5978" s="44"/>
      <c r="Q5978" s="44"/>
      <c r="R5978" s="44"/>
      <c r="S5978" s="44"/>
      <c r="T5978" s="44"/>
      <c r="U5978" s="44"/>
      <c r="V5978" s="44"/>
      <c r="W5978" s="44"/>
      <c r="X5978" s="44"/>
      <c r="Y5978" s="44"/>
    </row>
    <row r="5979" spans="14:25" ht="15" customHeight="1" x14ac:dyDescent="0.25">
      <c r="N5979" s="44"/>
      <c r="O5979" s="44"/>
      <c r="P5979" s="44"/>
      <c r="Q5979" s="44"/>
      <c r="R5979" s="44"/>
      <c r="S5979" s="44"/>
      <c r="T5979" s="44"/>
      <c r="U5979" s="44"/>
      <c r="V5979" s="44"/>
      <c r="W5979" s="44"/>
      <c r="X5979" s="44"/>
      <c r="Y5979" s="44"/>
    </row>
    <row r="5980" spans="14:25" ht="15" customHeight="1" x14ac:dyDescent="0.25">
      <c r="N5980" s="44"/>
      <c r="O5980" s="44"/>
      <c r="P5980" s="44"/>
      <c r="Q5980" s="44"/>
      <c r="R5980" s="44"/>
      <c r="S5980" s="44"/>
      <c r="T5980" s="44"/>
      <c r="U5980" s="44"/>
      <c r="V5980" s="44"/>
      <c r="W5980" s="44"/>
      <c r="X5980" s="44"/>
      <c r="Y5980" s="44"/>
    </row>
    <row r="5981" spans="14:25" ht="15" customHeight="1" x14ac:dyDescent="0.25">
      <c r="N5981" s="44"/>
      <c r="O5981" s="44"/>
      <c r="P5981" s="44"/>
      <c r="Q5981" s="44"/>
      <c r="R5981" s="44"/>
      <c r="S5981" s="44"/>
      <c r="T5981" s="44"/>
      <c r="U5981" s="44"/>
      <c r="V5981" s="44"/>
      <c r="W5981" s="44"/>
      <c r="X5981" s="44"/>
      <c r="Y5981" s="44"/>
    </row>
    <row r="5982" spans="14:25" ht="15" customHeight="1" x14ac:dyDescent="0.25">
      <c r="N5982" s="44"/>
      <c r="O5982" s="44"/>
      <c r="P5982" s="44"/>
      <c r="Q5982" s="44"/>
      <c r="R5982" s="44"/>
      <c r="S5982" s="44"/>
      <c r="T5982" s="44"/>
      <c r="U5982" s="44"/>
      <c r="V5982" s="44"/>
      <c r="W5982" s="44"/>
      <c r="X5982" s="44"/>
      <c r="Y5982" s="44"/>
    </row>
    <row r="5983" spans="14:25" ht="15" customHeight="1" x14ac:dyDescent="0.25">
      <c r="N5983" s="44"/>
      <c r="O5983" s="44"/>
      <c r="P5983" s="44"/>
      <c r="Q5983" s="44"/>
      <c r="R5983" s="44"/>
      <c r="S5983" s="44"/>
      <c r="T5983" s="44"/>
      <c r="U5983" s="44"/>
      <c r="V5983" s="44"/>
      <c r="W5983" s="44"/>
      <c r="X5983" s="44"/>
      <c r="Y5983" s="44"/>
    </row>
    <row r="5984" spans="14:25" ht="15" customHeight="1" x14ac:dyDescent="0.25">
      <c r="N5984" s="44"/>
      <c r="O5984" s="44"/>
      <c r="P5984" s="44"/>
      <c r="Q5984" s="44"/>
      <c r="R5984" s="44"/>
      <c r="S5984" s="44"/>
      <c r="T5984" s="44"/>
      <c r="U5984" s="44"/>
      <c r="V5984" s="44"/>
      <c r="W5984" s="44"/>
      <c r="X5984" s="44"/>
      <c r="Y5984" s="44"/>
    </row>
    <row r="5985" spans="14:25" ht="15" customHeight="1" x14ac:dyDescent="0.25">
      <c r="N5985" s="44"/>
      <c r="O5985" s="44"/>
      <c r="P5985" s="44"/>
      <c r="Q5985" s="44"/>
      <c r="R5985" s="44"/>
      <c r="S5985" s="44"/>
      <c r="T5985" s="44"/>
      <c r="U5985" s="44"/>
      <c r="V5985" s="44"/>
      <c r="W5985" s="44"/>
      <c r="X5985" s="44"/>
      <c r="Y5985" s="44"/>
    </row>
    <row r="5986" spans="14:25" ht="15" customHeight="1" x14ac:dyDescent="0.25">
      <c r="N5986" s="44"/>
      <c r="O5986" s="44"/>
      <c r="P5986" s="44"/>
      <c r="Q5986" s="44"/>
      <c r="R5986" s="44"/>
      <c r="S5986" s="44"/>
      <c r="T5986" s="44"/>
      <c r="U5986" s="44"/>
      <c r="V5986" s="44"/>
      <c r="W5986" s="44"/>
      <c r="X5986" s="44"/>
      <c r="Y5986" s="44"/>
    </row>
    <row r="5987" spans="14:25" ht="15" customHeight="1" x14ac:dyDescent="0.25">
      <c r="N5987" s="44"/>
      <c r="O5987" s="44"/>
      <c r="P5987" s="44"/>
      <c r="Q5987" s="44"/>
      <c r="R5987" s="44"/>
      <c r="S5987" s="44"/>
      <c r="T5987" s="44"/>
      <c r="U5987" s="44"/>
      <c r="V5987" s="44"/>
      <c r="W5987" s="44"/>
      <c r="X5987" s="44"/>
      <c r="Y5987" s="44"/>
    </row>
    <row r="5988" spans="14:25" ht="15" customHeight="1" x14ac:dyDescent="0.25">
      <c r="N5988" s="44"/>
      <c r="O5988" s="44"/>
      <c r="P5988" s="44"/>
      <c r="Q5988" s="44"/>
      <c r="R5988" s="44"/>
      <c r="S5988" s="44"/>
      <c r="T5988" s="44"/>
      <c r="U5988" s="44"/>
      <c r="V5988" s="44"/>
      <c r="W5988" s="44"/>
      <c r="X5988" s="44"/>
      <c r="Y5988" s="44"/>
    </row>
    <row r="5989" spans="14:25" ht="15" customHeight="1" x14ac:dyDescent="0.25">
      <c r="N5989" s="44"/>
      <c r="O5989" s="44"/>
      <c r="P5989" s="44"/>
      <c r="Q5989" s="44"/>
      <c r="R5989" s="44"/>
      <c r="S5989" s="44"/>
      <c r="T5989" s="44"/>
      <c r="U5989" s="44"/>
      <c r="V5989" s="44"/>
      <c r="W5989" s="44"/>
      <c r="X5989" s="44"/>
      <c r="Y5989" s="44"/>
    </row>
    <row r="5990" spans="14:25" ht="15" customHeight="1" x14ac:dyDescent="0.25">
      <c r="N5990" s="44"/>
      <c r="O5990" s="44"/>
      <c r="P5990" s="44"/>
      <c r="Q5990" s="44"/>
      <c r="R5990" s="44"/>
      <c r="S5990" s="44"/>
      <c r="T5990" s="44"/>
      <c r="U5990" s="44"/>
      <c r="V5990" s="44"/>
      <c r="W5990" s="44"/>
      <c r="X5990" s="44"/>
      <c r="Y5990" s="44"/>
    </row>
    <row r="5991" spans="14:25" ht="15" customHeight="1" x14ac:dyDescent="0.25">
      <c r="N5991" s="44"/>
      <c r="O5991" s="44"/>
      <c r="P5991" s="44"/>
      <c r="Q5991" s="44"/>
      <c r="R5991" s="44"/>
      <c r="S5991" s="44"/>
      <c r="T5991" s="44"/>
      <c r="U5991" s="44"/>
      <c r="V5991" s="44"/>
      <c r="W5991" s="44"/>
      <c r="X5991" s="44"/>
      <c r="Y5991" s="44"/>
    </row>
    <row r="5992" spans="14:25" ht="15" customHeight="1" x14ac:dyDescent="0.25">
      <c r="N5992" s="44"/>
      <c r="O5992" s="44"/>
      <c r="P5992" s="44"/>
      <c r="Q5992" s="44"/>
      <c r="R5992" s="44"/>
      <c r="S5992" s="44"/>
      <c r="T5992" s="44"/>
      <c r="U5992" s="44"/>
      <c r="V5992" s="44"/>
      <c r="W5992" s="44"/>
      <c r="X5992" s="44"/>
      <c r="Y5992" s="44"/>
    </row>
    <row r="5993" spans="14:25" ht="15" customHeight="1" x14ac:dyDescent="0.25">
      <c r="N5993" s="44"/>
      <c r="O5993" s="44"/>
      <c r="P5993" s="44"/>
      <c r="Q5993" s="44"/>
      <c r="R5993" s="44"/>
      <c r="S5993" s="44"/>
      <c r="T5993" s="44"/>
      <c r="U5993" s="44"/>
      <c r="V5993" s="44"/>
      <c r="W5993" s="44"/>
      <c r="X5993" s="44"/>
      <c r="Y5993" s="44"/>
    </row>
    <row r="5994" spans="14:25" ht="15" customHeight="1" x14ac:dyDescent="0.25">
      <c r="N5994" s="44"/>
      <c r="O5994" s="44"/>
      <c r="P5994" s="44"/>
      <c r="Q5994" s="44"/>
      <c r="R5994" s="44"/>
      <c r="S5994" s="44"/>
      <c r="T5994" s="44"/>
      <c r="U5994" s="44"/>
      <c r="V5994" s="44"/>
      <c r="W5994" s="44"/>
      <c r="X5994" s="44"/>
      <c r="Y5994" s="44"/>
    </row>
    <row r="5995" spans="14:25" ht="15" customHeight="1" x14ac:dyDescent="0.25">
      <c r="N5995" s="44"/>
      <c r="O5995" s="44"/>
      <c r="P5995" s="44"/>
      <c r="Q5995" s="44"/>
      <c r="R5995" s="44"/>
      <c r="S5995" s="44"/>
      <c r="T5995" s="44"/>
      <c r="U5995" s="44"/>
      <c r="V5995" s="44"/>
      <c r="W5995" s="44"/>
      <c r="X5995" s="44"/>
      <c r="Y5995" s="44"/>
    </row>
    <row r="5996" spans="14:25" ht="15" customHeight="1" x14ac:dyDescent="0.25">
      <c r="N5996" s="44"/>
      <c r="O5996" s="44"/>
      <c r="P5996" s="44"/>
      <c r="Q5996" s="44"/>
      <c r="R5996" s="44"/>
      <c r="S5996" s="44"/>
      <c r="T5996" s="44"/>
      <c r="U5996" s="44"/>
      <c r="V5996" s="44"/>
      <c r="W5996" s="44"/>
      <c r="X5996" s="44"/>
      <c r="Y5996" s="44"/>
    </row>
    <row r="5997" spans="14:25" ht="15" customHeight="1" x14ac:dyDescent="0.25">
      <c r="N5997" s="44"/>
      <c r="O5997" s="44"/>
      <c r="P5997" s="44"/>
      <c r="Q5997" s="44"/>
      <c r="R5997" s="44"/>
      <c r="S5997" s="44"/>
      <c r="T5997" s="44"/>
      <c r="U5997" s="44"/>
      <c r="V5997" s="44"/>
      <c r="W5997" s="44"/>
      <c r="X5997" s="44"/>
      <c r="Y5997" s="44"/>
    </row>
    <row r="5998" spans="14:25" ht="15" customHeight="1" x14ac:dyDescent="0.25">
      <c r="N5998" s="44"/>
      <c r="O5998" s="44"/>
      <c r="P5998" s="44"/>
      <c r="Q5998" s="44"/>
      <c r="R5998" s="44"/>
      <c r="S5998" s="44"/>
      <c r="T5998" s="44"/>
      <c r="U5998" s="44"/>
      <c r="V5998" s="44"/>
      <c r="W5998" s="44"/>
      <c r="X5998" s="44"/>
      <c r="Y5998" s="44"/>
    </row>
    <row r="5999" spans="14:25" ht="15" customHeight="1" x14ac:dyDescent="0.25">
      <c r="N5999" s="44"/>
      <c r="O5999" s="44"/>
      <c r="P5999" s="44"/>
      <c r="Q5999" s="44"/>
      <c r="R5999" s="44"/>
      <c r="S5999" s="44"/>
      <c r="T5999" s="44"/>
      <c r="U5999" s="44"/>
      <c r="V5999" s="44"/>
      <c r="W5999" s="44"/>
      <c r="X5999" s="44"/>
      <c r="Y5999" s="44"/>
    </row>
    <row r="6000" spans="14:25" ht="15" customHeight="1" x14ac:dyDescent="0.25">
      <c r="N6000" s="44"/>
      <c r="O6000" s="44"/>
      <c r="P6000" s="44"/>
      <c r="Q6000" s="44"/>
      <c r="R6000" s="44"/>
      <c r="S6000" s="44"/>
      <c r="T6000" s="44"/>
      <c r="U6000" s="44"/>
      <c r="V6000" s="44"/>
      <c r="W6000" s="44"/>
      <c r="X6000" s="44"/>
      <c r="Y6000" s="44"/>
    </row>
    <row r="6001" spans="14:25" ht="15" customHeight="1" x14ac:dyDescent="0.25">
      <c r="N6001" s="44"/>
      <c r="O6001" s="44"/>
      <c r="P6001" s="44"/>
      <c r="Q6001" s="44"/>
      <c r="R6001" s="44"/>
      <c r="S6001" s="44"/>
      <c r="T6001" s="44"/>
      <c r="U6001" s="44"/>
      <c r="V6001" s="44"/>
      <c r="W6001" s="44"/>
      <c r="X6001" s="44"/>
      <c r="Y6001" s="44"/>
    </row>
    <row r="6002" spans="14:25" ht="15" customHeight="1" x14ac:dyDescent="0.25">
      <c r="N6002" s="44"/>
      <c r="O6002" s="44"/>
      <c r="P6002" s="44"/>
      <c r="Q6002" s="44"/>
      <c r="R6002" s="44"/>
      <c r="S6002" s="44"/>
      <c r="T6002" s="44"/>
      <c r="U6002" s="44"/>
      <c r="V6002" s="44"/>
      <c r="W6002" s="44"/>
      <c r="X6002" s="44"/>
      <c r="Y6002" s="44"/>
    </row>
    <row r="6003" spans="14:25" ht="15" customHeight="1" x14ac:dyDescent="0.25">
      <c r="N6003" s="44"/>
      <c r="O6003" s="44"/>
      <c r="P6003" s="44"/>
      <c r="Q6003" s="44"/>
      <c r="R6003" s="44"/>
      <c r="S6003" s="44"/>
      <c r="T6003" s="44"/>
      <c r="U6003" s="44"/>
      <c r="V6003" s="44"/>
      <c r="W6003" s="44"/>
      <c r="X6003" s="44"/>
      <c r="Y6003" s="44"/>
    </row>
    <row r="6004" spans="14:25" ht="15" customHeight="1" x14ac:dyDescent="0.25">
      <c r="N6004" s="44"/>
      <c r="O6004" s="44"/>
      <c r="P6004" s="44"/>
      <c r="Q6004" s="44"/>
      <c r="R6004" s="44"/>
      <c r="S6004" s="44"/>
      <c r="T6004" s="44"/>
      <c r="U6004" s="44"/>
      <c r="V6004" s="44"/>
      <c r="W6004" s="44"/>
      <c r="X6004" s="44"/>
      <c r="Y6004" s="44"/>
    </row>
    <row r="6005" spans="14:25" ht="15" customHeight="1" x14ac:dyDescent="0.25">
      <c r="N6005" s="44"/>
      <c r="O6005" s="44"/>
      <c r="P6005" s="44"/>
      <c r="Q6005" s="44"/>
      <c r="R6005" s="44"/>
      <c r="S6005" s="44"/>
      <c r="T6005" s="44"/>
      <c r="U6005" s="44"/>
      <c r="V6005" s="44"/>
      <c r="W6005" s="44"/>
      <c r="X6005" s="44"/>
      <c r="Y6005" s="44"/>
    </row>
    <row r="6006" spans="14:25" ht="15" customHeight="1" x14ac:dyDescent="0.25">
      <c r="N6006" s="44"/>
      <c r="O6006" s="44"/>
      <c r="P6006" s="44"/>
      <c r="Q6006" s="44"/>
      <c r="R6006" s="44"/>
      <c r="S6006" s="44"/>
      <c r="T6006" s="44"/>
      <c r="U6006" s="44"/>
      <c r="V6006" s="44"/>
      <c r="W6006" s="44"/>
      <c r="X6006" s="44"/>
      <c r="Y6006" s="44"/>
    </row>
    <row r="6007" spans="14:25" ht="15" customHeight="1" x14ac:dyDescent="0.25">
      <c r="N6007" s="44"/>
      <c r="O6007" s="44"/>
      <c r="P6007" s="44"/>
      <c r="Q6007" s="44"/>
      <c r="R6007" s="44"/>
      <c r="S6007" s="44"/>
      <c r="T6007" s="44"/>
      <c r="U6007" s="44"/>
      <c r="V6007" s="44"/>
      <c r="W6007" s="44"/>
      <c r="X6007" s="44"/>
      <c r="Y6007" s="44"/>
    </row>
    <row r="6008" spans="14:25" ht="15" customHeight="1" x14ac:dyDescent="0.25">
      <c r="N6008" s="44"/>
      <c r="O6008" s="44"/>
      <c r="P6008" s="44"/>
      <c r="Q6008" s="44"/>
      <c r="R6008" s="44"/>
      <c r="S6008" s="44"/>
      <c r="T6008" s="44"/>
      <c r="U6008" s="44"/>
      <c r="V6008" s="44"/>
      <c r="W6008" s="44"/>
      <c r="X6008" s="44"/>
      <c r="Y6008" s="44"/>
    </row>
    <row r="6009" spans="14:25" ht="15" customHeight="1" x14ac:dyDescent="0.25">
      <c r="N6009" s="44"/>
      <c r="O6009" s="44"/>
      <c r="P6009" s="44"/>
      <c r="Q6009" s="44"/>
      <c r="R6009" s="44"/>
      <c r="S6009" s="44"/>
      <c r="T6009" s="44"/>
      <c r="U6009" s="44"/>
      <c r="V6009" s="44"/>
      <c r="W6009" s="44"/>
      <c r="X6009" s="44"/>
      <c r="Y6009" s="44"/>
    </row>
    <row r="6010" spans="14:25" ht="15" customHeight="1" x14ac:dyDescent="0.25">
      <c r="N6010" s="44"/>
      <c r="O6010" s="44"/>
      <c r="P6010" s="44"/>
      <c r="Q6010" s="44"/>
      <c r="R6010" s="44"/>
      <c r="S6010" s="44"/>
      <c r="T6010" s="44"/>
      <c r="U6010" s="44"/>
      <c r="V6010" s="44"/>
      <c r="W6010" s="44"/>
      <c r="X6010" s="44"/>
      <c r="Y6010" s="44"/>
    </row>
    <row r="6011" spans="14:25" ht="15" customHeight="1" x14ac:dyDescent="0.25">
      <c r="N6011" s="44"/>
      <c r="O6011" s="44"/>
      <c r="P6011" s="44"/>
      <c r="Q6011" s="44"/>
      <c r="R6011" s="44"/>
      <c r="S6011" s="44"/>
      <c r="T6011" s="44"/>
      <c r="U6011" s="44"/>
      <c r="V6011" s="44"/>
      <c r="W6011" s="44"/>
      <c r="X6011" s="44"/>
      <c r="Y6011" s="44"/>
    </row>
    <row r="6012" spans="14:25" ht="15" customHeight="1" x14ac:dyDescent="0.25">
      <c r="N6012" s="44"/>
      <c r="O6012" s="44"/>
      <c r="P6012" s="44"/>
      <c r="Q6012" s="44"/>
      <c r="R6012" s="44"/>
      <c r="S6012" s="44"/>
      <c r="T6012" s="44"/>
      <c r="U6012" s="44"/>
      <c r="V6012" s="44"/>
      <c r="W6012" s="44"/>
      <c r="X6012" s="44"/>
      <c r="Y6012" s="44"/>
    </row>
    <row r="6013" spans="14:25" ht="15" customHeight="1" x14ac:dyDescent="0.25">
      <c r="N6013" s="44"/>
      <c r="O6013" s="44"/>
      <c r="P6013" s="44"/>
      <c r="Q6013" s="44"/>
      <c r="R6013" s="44"/>
      <c r="S6013" s="44"/>
      <c r="T6013" s="44"/>
      <c r="U6013" s="44"/>
      <c r="V6013" s="44"/>
      <c r="W6013" s="44"/>
      <c r="X6013" s="44"/>
      <c r="Y6013" s="44"/>
    </row>
    <row r="6014" spans="14:25" ht="15" customHeight="1" x14ac:dyDescent="0.25">
      <c r="N6014" s="44"/>
      <c r="O6014" s="44"/>
      <c r="P6014" s="44"/>
      <c r="Q6014" s="44"/>
      <c r="R6014" s="44"/>
      <c r="S6014" s="44"/>
      <c r="T6014" s="44"/>
      <c r="U6014" s="44"/>
      <c r="V6014" s="44"/>
      <c r="W6014" s="44"/>
      <c r="X6014" s="44"/>
      <c r="Y6014" s="44"/>
    </row>
    <row r="6015" spans="14:25" ht="15" customHeight="1" x14ac:dyDescent="0.25">
      <c r="N6015" s="44"/>
      <c r="O6015" s="44"/>
      <c r="P6015" s="44"/>
      <c r="Q6015" s="44"/>
      <c r="R6015" s="44"/>
      <c r="S6015" s="44"/>
      <c r="T6015" s="44"/>
      <c r="U6015" s="44"/>
      <c r="V6015" s="44"/>
      <c r="W6015" s="44"/>
      <c r="X6015" s="44"/>
      <c r="Y6015" s="44"/>
    </row>
    <row r="6016" spans="14:25" ht="15" customHeight="1" x14ac:dyDescent="0.25">
      <c r="N6016" s="44"/>
      <c r="O6016" s="44"/>
      <c r="P6016" s="44"/>
      <c r="Q6016" s="44"/>
      <c r="R6016" s="44"/>
      <c r="S6016" s="44"/>
      <c r="T6016" s="44"/>
      <c r="U6016" s="44"/>
      <c r="V6016" s="44"/>
      <c r="W6016" s="44"/>
      <c r="X6016" s="44"/>
      <c r="Y6016" s="44"/>
    </row>
    <row r="6017" spans="14:25" ht="15" customHeight="1" x14ac:dyDescent="0.25">
      <c r="N6017" s="44"/>
      <c r="O6017" s="44"/>
      <c r="P6017" s="44"/>
      <c r="Q6017" s="44"/>
      <c r="R6017" s="44"/>
      <c r="S6017" s="44"/>
      <c r="T6017" s="44"/>
      <c r="U6017" s="44"/>
      <c r="V6017" s="44"/>
      <c r="W6017" s="44"/>
      <c r="X6017" s="44"/>
      <c r="Y6017" s="44"/>
    </row>
    <row r="6018" spans="14:25" ht="15" customHeight="1" x14ac:dyDescent="0.25">
      <c r="N6018" s="44"/>
      <c r="O6018" s="44"/>
      <c r="P6018" s="44"/>
      <c r="Q6018" s="44"/>
      <c r="R6018" s="44"/>
      <c r="S6018" s="44"/>
      <c r="T6018" s="44"/>
      <c r="U6018" s="44"/>
      <c r="V6018" s="44"/>
      <c r="W6018" s="44"/>
      <c r="X6018" s="44"/>
      <c r="Y6018" s="44"/>
    </row>
    <row r="6019" spans="14:25" ht="15" customHeight="1" x14ac:dyDescent="0.25">
      <c r="N6019" s="44"/>
      <c r="O6019" s="44"/>
      <c r="P6019" s="44"/>
      <c r="Q6019" s="44"/>
      <c r="R6019" s="44"/>
      <c r="S6019" s="44"/>
      <c r="T6019" s="44"/>
      <c r="U6019" s="44"/>
      <c r="V6019" s="44"/>
      <c r="W6019" s="44"/>
      <c r="X6019" s="44"/>
      <c r="Y6019" s="44"/>
    </row>
    <row r="6020" spans="14:25" ht="15" customHeight="1" x14ac:dyDescent="0.25">
      <c r="N6020" s="44"/>
      <c r="O6020" s="44"/>
      <c r="P6020" s="44"/>
      <c r="Q6020" s="44"/>
      <c r="R6020" s="44"/>
      <c r="S6020" s="44"/>
      <c r="T6020" s="44"/>
      <c r="U6020" s="44"/>
      <c r="V6020" s="44"/>
      <c r="W6020" s="44"/>
      <c r="X6020" s="44"/>
      <c r="Y6020" s="44"/>
    </row>
    <row r="6021" spans="14:25" ht="15" customHeight="1" x14ac:dyDescent="0.25">
      <c r="N6021" s="44"/>
      <c r="O6021" s="44"/>
      <c r="P6021" s="44"/>
      <c r="Q6021" s="44"/>
      <c r="R6021" s="44"/>
      <c r="S6021" s="44"/>
      <c r="T6021" s="44"/>
      <c r="U6021" s="44"/>
      <c r="V6021" s="44"/>
      <c r="W6021" s="44"/>
      <c r="X6021" s="44"/>
      <c r="Y6021" s="44"/>
    </row>
    <row r="6022" spans="14:25" ht="15" customHeight="1" x14ac:dyDescent="0.25">
      <c r="N6022" s="44"/>
      <c r="O6022" s="44"/>
      <c r="P6022" s="44"/>
      <c r="Q6022" s="44"/>
      <c r="R6022" s="44"/>
      <c r="S6022" s="44"/>
      <c r="T6022" s="44"/>
      <c r="U6022" s="44"/>
      <c r="V6022" s="44"/>
      <c r="W6022" s="44"/>
      <c r="X6022" s="44"/>
      <c r="Y6022" s="44"/>
    </row>
    <row r="6023" spans="14:25" ht="15" customHeight="1" x14ac:dyDescent="0.25">
      <c r="N6023" s="44"/>
      <c r="O6023" s="44"/>
      <c r="P6023" s="44"/>
      <c r="Q6023" s="44"/>
      <c r="R6023" s="44"/>
      <c r="S6023" s="44"/>
      <c r="T6023" s="44"/>
      <c r="U6023" s="44"/>
      <c r="V6023" s="44"/>
      <c r="W6023" s="44"/>
      <c r="X6023" s="44"/>
      <c r="Y6023" s="44"/>
    </row>
    <row r="6024" spans="14:25" ht="15" customHeight="1" x14ac:dyDescent="0.25">
      <c r="N6024" s="44"/>
      <c r="O6024" s="44"/>
      <c r="P6024" s="44"/>
      <c r="Q6024" s="44"/>
      <c r="R6024" s="44"/>
      <c r="S6024" s="44"/>
      <c r="T6024" s="44"/>
      <c r="U6024" s="44"/>
      <c r="V6024" s="44"/>
      <c r="W6024" s="44"/>
      <c r="X6024" s="44"/>
      <c r="Y6024" s="44"/>
    </row>
    <row r="6025" spans="14:25" ht="15" customHeight="1" x14ac:dyDescent="0.25">
      <c r="N6025" s="44"/>
      <c r="O6025" s="44"/>
      <c r="P6025" s="44"/>
      <c r="Q6025" s="44"/>
      <c r="R6025" s="44"/>
      <c r="S6025" s="44"/>
      <c r="T6025" s="44"/>
      <c r="U6025" s="44"/>
      <c r="V6025" s="44"/>
      <c r="W6025" s="44"/>
      <c r="X6025" s="44"/>
      <c r="Y6025" s="44"/>
    </row>
    <row r="6026" spans="14:25" ht="15" customHeight="1" x14ac:dyDescent="0.25">
      <c r="N6026" s="44"/>
      <c r="O6026" s="44"/>
      <c r="P6026" s="44"/>
      <c r="Q6026" s="44"/>
      <c r="R6026" s="44"/>
      <c r="S6026" s="44"/>
      <c r="T6026" s="44"/>
      <c r="U6026" s="44"/>
      <c r="V6026" s="44"/>
      <c r="W6026" s="44"/>
      <c r="X6026" s="44"/>
      <c r="Y6026" s="44"/>
    </row>
    <row r="6027" spans="14:25" ht="15" customHeight="1" x14ac:dyDescent="0.25">
      <c r="N6027" s="44"/>
      <c r="O6027" s="44"/>
      <c r="P6027" s="44"/>
      <c r="Q6027" s="44"/>
      <c r="R6027" s="44"/>
      <c r="S6027" s="44"/>
      <c r="T6027" s="44"/>
      <c r="U6027" s="44"/>
      <c r="V6027" s="44"/>
      <c r="W6027" s="44"/>
      <c r="X6027" s="44"/>
      <c r="Y6027" s="44"/>
    </row>
    <row r="6028" spans="14:25" ht="15" customHeight="1" x14ac:dyDescent="0.25">
      <c r="N6028" s="44"/>
      <c r="O6028" s="44"/>
      <c r="P6028" s="44"/>
      <c r="Q6028" s="44"/>
      <c r="R6028" s="44"/>
      <c r="S6028" s="44"/>
      <c r="T6028" s="44"/>
      <c r="U6028" s="44"/>
      <c r="V6028" s="44"/>
      <c r="W6028" s="44"/>
      <c r="X6028" s="44"/>
      <c r="Y6028" s="44"/>
    </row>
    <row r="6029" spans="14:25" ht="15" customHeight="1" x14ac:dyDescent="0.25">
      <c r="N6029" s="44"/>
      <c r="O6029" s="44"/>
      <c r="P6029" s="44"/>
      <c r="Q6029" s="44"/>
      <c r="R6029" s="44"/>
      <c r="S6029" s="44"/>
      <c r="T6029" s="44"/>
      <c r="U6029" s="44"/>
      <c r="V6029" s="44"/>
      <c r="W6029" s="44"/>
      <c r="X6029" s="44"/>
      <c r="Y6029" s="44"/>
    </row>
    <row r="6030" spans="14:25" ht="15" customHeight="1" x14ac:dyDescent="0.25">
      <c r="N6030" s="44"/>
      <c r="O6030" s="44"/>
      <c r="P6030" s="44"/>
      <c r="Q6030" s="44"/>
      <c r="R6030" s="44"/>
      <c r="S6030" s="44"/>
      <c r="T6030" s="44"/>
      <c r="U6030" s="44"/>
      <c r="V6030" s="44"/>
      <c r="W6030" s="44"/>
      <c r="X6030" s="44"/>
      <c r="Y6030" s="44"/>
    </row>
    <row r="6031" spans="14:25" ht="15" customHeight="1" x14ac:dyDescent="0.25">
      <c r="N6031" s="44"/>
      <c r="O6031" s="44"/>
      <c r="P6031" s="44"/>
      <c r="Q6031" s="44"/>
      <c r="R6031" s="44"/>
      <c r="S6031" s="44"/>
      <c r="T6031" s="44"/>
      <c r="U6031" s="44"/>
      <c r="V6031" s="44"/>
      <c r="W6031" s="44"/>
      <c r="X6031" s="44"/>
      <c r="Y6031" s="44"/>
    </row>
    <row r="6032" spans="14:25" ht="15" customHeight="1" x14ac:dyDescent="0.25">
      <c r="N6032" s="44"/>
      <c r="O6032" s="44"/>
      <c r="P6032" s="44"/>
      <c r="Q6032" s="44"/>
      <c r="R6032" s="44"/>
      <c r="S6032" s="44"/>
      <c r="T6032" s="44"/>
      <c r="U6032" s="44"/>
      <c r="V6032" s="44"/>
      <c r="W6032" s="44"/>
      <c r="X6032" s="44"/>
      <c r="Y6032" s="44"/>
    </row>
    <row r="6033" spans="14:25" ht="15" customHeight="1" x14ac:dyDescent="0.25">
      <c r="N6033" s="44"/>
      <c r="O6033" s="44"/>
      <c r="P6033" s="44"/>
      <c r="Q6033" s="44"/>
      <c r="R6033" s="44"/>
      <c r="S6033" s="44"/>
      <c r="T6033" s="44"/>
      <c r="U6033" s="44"/>
      <c r="V6033" s="44"/>
      <c r="W6033" s="44"/>
      <c r="X6033" s="44"/>
      <c r="Y6033" s="44"/>
    </row>
    <row r="6034" spans="14:25" ht="15" customHeight="1" x14ac:dyDescent="0.25">
      <c r="N6034" s="44"/>
      <c r="O6034" s="44"/>
      <c r="P6034" s="44"/>
      <c r="Q6034" s="44"/>
      <c r="R6034" s="44"/>
      <c r="S6034" s="44"/>
      <c r="T6034" s="44"/>
      <c r="U6034" s="44"/>
      <c r="V6034" s="44"/>
      <c r="W6034" s="44"/>
      <c r="X6034" s="44"/>
      <c r="Y6034" s="44"/>
    </row>
    <row r="6035" spans="14:25" ht="15" customHeight="1" x14ac:dyDescent="0.25">
      <c r="N6035" s="44"/>
      <c r="O6035" s="44"/>
      <c r="P6035" s="44"/>
      <c r="Q6035" s="44"/>
      <c r="R6035" s="44"/>
      <c r="S6035" s="44"/>
      <c r="T6035" s="44"/>
      <c r="U6035" s="44"/>
      <c r="V6035" s="44"/>
      <c r="W6035" s="44"/>
      <c r="X6035" s="44"/>
      <c r="Y6035" s="44"/>
    </row>
    <row r="6036" spans="14:25" ht="15" customHeight="1" x14ac:dyDescent="0.25">
      <c r="N6036" s="44"/>
      <c r="O6036" s="44"/>
      <c r="P6036" s="44"/>
      <c r="Q6036" s="44"/>
      <c r="R6036" s="44"/>
      <c r="S6036" s="44"/>
      <c r="T6036" s="44"/>
      <c r="U6036" s="44"/>
      <c r="V6036" s="44"/>
      <c r="W6036" s="44"/>
      <c r="X6036" s="44"/>
      <c r="Y6036" s="44"/>
    </row>
    <row r="6037" spans="14:25" ht="15" customHeight="1" x14ac:dyDescent="0.25">
      <c r="N6037" s="44"/>
      <c r="O6037" s="44"/>
      <c r="P6037" s="44"/>
      <c r="Q6037" s="44"/>
      <c r="R6037" s="44"/>
      <c r="S6037" s="44"/>
      <c r="T6037" s="44"/>
      <c r="U6037" s="44"/>
      <c r="V6037" s="44"/>
      <c r="W6037" s="44"/>
      <c r="X6037" s="44"/>
      <c r="Y6037" s="44"/>
    </row>
    <row r="6038" spans="14:25" ht="15" customHeight="1" x14ac:dyDescent="0.25">
      <c r="N6038" s="44"/>
      <c r="O6038" s="44"/>
      <c r="P6038" s="44"/>
      <c r="Q6038" s="44"/>
      <c r="R6038" s="44"/>
      <c r="S6038" s="44"/>
      <c r="T6038" s="44"/>
      <c r="U6038" s="44"/>
      <c r="V6038" s="44"/>
      <c r="W6038" s="44"/>
      <c r="X6038" s="44"/>
      <c r="Y6038" s="44"/>
    </row>
    <row r="6039" spans="14:25" ht="15" customHeight="1" x14ac:dyDescent="0.25">
      <c r="N6039" s="44"/>
      <c r="O6039" s="44"/>
      <c r="P6039" s="44"/>
      <c r="Q6039" s="44"/>
      <c r="R6039" s="44"/>
      <c r="S6039" s="44"/>
      <c r="T6039" s="44"/>
      <c r="U6039" s="44"/>
      <c r="V6039" s="44"/>
      <c r="W6039" s="44"/>
      <c r="X6039" s="44"/>
      <c r="Y6039" s="44"/>
    </row>
    <row r="6040" spans="14:25" ht="15" customHeight="1" x14ac:dyDescent="0.25">
      <c r="N6040" s="44"/>
      <c r="O6040" s="44"/>
      <c r="P6040" s="44"/>
      <c r="Q6040" s="44"/>
      <c r="R6040" s="44"/>
      <c r="S6040" s="44"/>
      <c r="T6040" s="44"/>
      <c r="U6040" s="44"/>
      <c r="V6040" s="44"/>
      <c r="W6040" s="44"/>
      <c r="X6040" s="44"/>
      <c r="Y6040" s="44"/>
    </row>
    <row r="6041" spans="14:25" ht="15" customHeight="1" x14ac:dyDescent="0.25">
      <c r="N6041" s="44"/>
      <c r="O6041" s="44"/>
      <c r="P6041" s="44"/>
      <c r="Q6041" s="44"/>
      <c r="R6041" s="44"/>
      <c r="S6041" s="44"/>
      <c r="T6041" s="44"/>
      <c r="U6041" s="44"/>
      <c r="V6041" s="44"/>
      <c r="W6041" s="44"/>
      <c r="X6041" s="44"/>
      <c r="Y6041" s="44"/>
    </row>
    <row r="6042" spans="14:25" ht="15" customHeight="1" x14ac:dyDescent="0.25">
      <c r="N6042" s="44"/>
      <c r="O6042" s="44"/>
      <c r="P6042" s="44"/>
      <c r="Q6042" s="44"/>
      <c r="R6042" s="44"/>
      <c r="S6042" s="44"/>
      <c r="T6042" s="44"/>
      <c r="U6042" s="44"/>
      <c r="V6042" s="44"/>
      <c r="W6042" s="44"/>
      <c r="X6042" s="44"/>
      <c r="Y6042" s="44"/>
    </row>
    <row r="6043" spans="14:25" ht="15" customHeight="1" x14ac:dyDescent="0.25">
      <c r="N6043" s="44"/>
      <c r="O6043" s="44"/>
      <c r="P6043" s="44"/>
      <c r="Q6043" s="44"/>
      <c r="R6043" s="44"/>
      <c r="S6043" s="44"/>
      <c r="T6043" s="44"/>
      <c r="U6043" s="44"/>
      <c r="V6043" s="44"/>
      <c r="W6043" s="44"/>
      <c r="X6043" s="44"/>
      <c r="Y6043" s="44"/>
    </row>
    <row r="6044" spans="14:25" ht="15" customHeight="1" x14ac:dyDescent="0.25">
      <c r="N6044" s="44"/>
      <c r="O6044" s="44"/>
      <c r="P6044" s="44"/>
      <c r="Q6044" s="44"/>
      <c r="R6044" s="44"/>
      <c r="S6044" s="44"/>
      <c r="T6044" s="44"/>
      <c r="U6044" s="44"/>
      <c r="V6044" s="44"/>
      <c r="W6044" s="44"/>
      <c r="X6044" s="44"/>
      <c r="Y6044" s="44"/>
    </row>
    <row r="6045" spans="14:25" ht="15" customHeight="1" x14ac:dyDescent="0.25">
      <c r="N6045" s="44"/>
      <c r="O6045" s="44"/>
      <c r="P6045" s="44"/>
      <c r="Q6045" s="44"/>
      <c r="R6045" s="44"/>
      <c r="S6045" s="44"/>
      <c r="T6045" s="44"/>
      <c r="U6045" s="44"/>
      <c r="V6045" s="44"/>
      <c r="W6045" s="44"/>
      <c r="X6045" s="44"/>
      <c r="Y6045" s="44"/>
    </row>
    <row r="6046" spans="14:25" ht="15" customHeight="1" x14ac:dyDescent="0.25">
      <c r="N6046" s="44"/>
      <c r="O6046" s="44"/>
      <c r="P6046" s="44"/>
      <c r="Q6046" s="44"/>
      <c r="R6046" s="44"/>
      <c r="S6046" s="44"/>
      <c r="T6046" s="44"/>
      <c r="U6046" s="44"/>
      <c r="V6046" s="44"/>
      <c r="W6046" s="44"/>
      <c r="X6046" s="44"/>
      <c r="Y6046" s="44"/>
    </row>
    <row r="6047" spans="14:25" ht="15" customHeight="1" x14ac:dyDescent="0.25">
      <c r="N6047" s="44"/>
      <c r="O6047" s="44"/>
      <c r="P6047" s="44"/>
      <c r="Q6047" s="44"/>
      <c r="R6047" s="44"/>
      <c r="S6047" s="44"/>
      <c r="T6047" s="44"/>
      <c r="U6047" s="44"/>
      <c r="V6047" s="44"/>
      <c r="W6047" s="44"/>
      <c r="X6047" s="44"/>
      <c r="Y6047" s="44"/>
    </row>
    <row r="6048" spans="14:25" ht="15" customHeight="1" x14ac:dyDescent="0.25">
      <c r="N6048" s="44"/>
      <c r="O6048" s="44"/>
      <c r="P6048" s="44"/>
      <c r="Q6048" s="44"/>
      <c r="R6048" s="44"/>
      <c r="S6048" s="44"/>
      <c r="T6048" s="44"/>
      <c r="U6048" s="44"/>
      <c r="V6048" s="44"/>
      <c r="W6048" s="44"/>
      <c r="X6048" s="44"/>
      <c r="Y6048" s="44"/>
    </row>
    <row r="6049" spans="14:25" ht="15" customHeight="1" x14ac:dyDescent="0.25">
      <c r="N6049" s="44"/>
      <c r="O6049" s="44"/>
      <c r="P6049" s="44"/>
      <c r="Q6049" s="44"/>
      <c r="R6049" s="44"/>
      <c r="S6049" s="44"/>
      <c r="T6049" s="44"/>
      <c r="U6049" s="44"/>
      <c r="V6049" s="44"/>
      <c r="W6049" s="44"/>
      <c r="X6049" s="44"/>
      <c r="Y6049" s="44"/>
    </row>
    <row r="6050" spans="14:25" ht="15" customHeight="1" x14ac:dyDescent="0.25">
      <c r="N6050" s="44"/>
      <c r="O6050" s="44"/>
      <c r="P6050" s="44"/>
      <c r="Q6050" s="44"/>
      <c r="R6050" s="44"/>
      <c r="S6050" s="44"/>
      <c r="T6050" s="44"/>
      <c r="U6050" s="44"/>
      <c r="V6050" s="44"/>
      <c r="W6050" s="44"/>
      <c r="X6050" s="44"/>
      <c r="Y6050" s="44"/>
    </row>
    <row r="6051" spans="14:25" ht="15" customHeight="1" x14ac:dyDescent="0.25">
      <c r="N6051" s="44"/>
      <c r="O6051" s="44"/>
      <c r="P6051" s="44"/>
      <c r="Q6051" s="44"/>
      <c r="R6051" s="44"/>
      <c r="S6051" s="44"/>
      <c r="T6051" s="44"/>
      <c r="U6051" s="44"/>
      <c r="V6051" s="44"/>
      <c r="W6051" s="44"/>
      <c r="X6051" s="44"/>
      <c r="Y6051" s="44"/>
    </row>
    <row r="6052" spans="14:25" ht="15" customHeight="1" x14ac:dyDescent="0.25">
      <c r="N6052" s="44"/>
      <c r="O6052" s="44"/>
      <c r="P6052" s="44"/>
      <c r="Q6052" s="44"/>
      <c r="R6052" s="44"/>
      <c r="S6052" s="44"/>
      <c r="T6052" s="44"/>
      <c r="U6052" s="44"/>
      <c r="V6052" s="44"/>
      <c r="W6052" s="44"/>
      <c r="X6052" s="44"/>
      <c r="Y6052" s="44"/>
    </row>
    <row r="6053" spans="14:25" ht="15" customHeight="1" x14ac:dyDescent="0.25">
      <c r="N6053" s="44"/>
      <c r="O6053" s="44"/>
      <c r="P6053" s="44"/>
      <c r="Q6053" s="44"/>
      <c r="R6053" s="44"/>
      <c r="S6053" s="44"/>
      <c r="T6053" s="44"/>
      <c r="U6053" s="44"/>
      <c r="V6053" s="44"/>
      <c r="W6053" s="44"/>
      <c r="X6053" s="44"/>
      <c r="Y6053" s="44"/>
    </row>
    <row r="6054" spans="14:25" ht="15" customHeight="1" x14ac:dyDescent="0.25">
      <c r="N6054" s="44"/>
      <c r="O6054" s="44"/>
      <c r="P6054" s="44"/>
      <c r="Q6054" s="44"/>
      <c r="R6054" s="44"/>
      <c r="S6054" s="44"/>
      <c r="T6054" s="44"/>
      <c r="U6054" s="44"/>
      <c r="V6054" s="44"/>
      <c r="W6054" s="44"/>
      <c r="X6054" s="44"/>
      <c r="Y6054" s="44"/>
    </row>
    <row r="6055" spans="14:25" ht="15" customHeight="1" x14ac:dyDescent="0.25">
      <c r="N6055" s="44"/>
      <c r="O6055" s="44"/>
      <c r="P6055" s="44"/>
      <c r="Q6055" s="44"/>
      <c r="R6055" s="44"/>
      <c r="S6055" s="44"/>
      <c r="T6055" s="44"/>
      <c r="U6055" s="44"/>
      <c r="V6055" s="44"/>
      <c r="W6055" s="44"/>
      <c r="X6055" s="44"/>
      <c r="Y6055" s="44"/>
    </row>
    <row r="6056" spans="14:25" ht="15" customHeight="1" x14ac:dyDescent="0.25">
      <c r="N6056" s="44"/>
      <c r="O6056" s="44"/>
      <c r="P6056" s="44"/>
      <c r="Q6056" s="44"/>
      <c r="R6056" s="44"/>
      <c r="S6056" s="44"/>
      <c r="T6056" s="44"/>
      <c r="U6056" s="44"/>
      <c r="V6056" s="44"/>
      <c r="W6056" s="44"/>
      <c r="X6056" s="44"/>
      <c r="Y6056" s="44"/>
    </row>
    <row r="6057" spans="14:25" ht="15" customHeight="1" x14ac:dyDescent="0.25">
      <c r="N6057" s="44"/>
      <c r="O6057" s="44"/>
      <c r="P6057" s="44"/>
      <c r="Q6057" s="44"/>
      <c r="R6057" s="44"/>
      <c r="S6057" s="44"/>
      <c r="T6057" s="44"/>
      <c r="U6057" s="44"/>
      <c r="V6057" s="44"/>
      <c r="W6057" s="44"/>
      <c r="X6057" s="44"/>
      <c r="Y6057" s="44"/>
    </row>
    <row r="6058" spans="14:25" ht="15" customHeight="1" x14ac:dyDescent="0.25">
      <c r="N6058" s="44"/>
      <c r="O6058" s="44"/>
      <c r="P6058" s="44"/>
      <c r="Q6058" s="44"/>
      <c r="R6058" s="44"/>
      <c r="S6058" s="44"/>
      <c r="T6058" s="44"/>
      <c r="U6058" s="44"/>
      <c r="V6058" s="44"/>
      <c r="W6058" s="44"/>
      <c r="X6058" s="44"/>
      <c r="Y6058" s="44"/>
    </row>
    <row r="6059" spans="14:25" ht="15" customHeight="1" x14ac:dyDescent="0.25">
      <c r="N6059" s="44"/>
      <c r="O6059" s="44"/>
      <c r="P6059" s="44"/>
      <c r="Q6059" s="44"/>
      <c r="R6059" s="44"/>
      <c r="S6059" s="44"/>
      <c r="T6059" s="44"/>
      <c r="U6059" s="44"/>
      <c r="V6059" s="44"/>
      <c r="W6059" s="44"/>
      <c r="X6059" s="44"/>
      <c r="Y6059" s="44"/>
    </row>
    <row r="6060" spans="14:25" ht="15" customHeight="1" x14ac:dyDescent="0.25">
      <c r="N6060" s="44"/>
      <c r="O6060" s="44"/>
      <c r="P6060" s="44"/>
      <c r="Q6060" s="44"/>
      <c r="R6060" s="44"/>
      <c r="S6060" s="44"/>
      <c r="T6060" s="44"/>
      <c r="U6060" s="44"/>
      <c r="V6060" s="44"/>
      <c r="W6060" s="44"/>
      <c r="X6060" s="44"/>
      <c r="Y6060" s="44"/>
    </row>
    <row r="6061" spans="14:25" ht="15" customHeight="1" x14ac:dyDescent="0.25">
      <c r="N6061" s="44"/>
      <c r="O6061" s="44"/>
      <c r="P6061" s="44"/>
      <c r="Q6061" s="44"/>
      <c r="R6061" s="44"/>
      <c r="S6061" s="44"/>
      <c r="T6061" s="44"/>
      <c r="U6061" s="44"/>
      <c r="V6061" s="44"/>
      <c r="W6061" s="44"/>
      <c r="X6061" s="44"/>
      <c r="Y6061" s="44"/>
    </row>
    <row r="6062" spans="14:25" ht="15" customHeight="1" x14ac:dyDescent="0.25">
      <c r="N6062" s="44"/>
      <c r="O6062" s="44"/>
      <c r="P6062" s="44"/>
      <c r="Q6062" s="44"/>
      <c r="R6062" s="44"/>
      <c r="S6062" s="44"/>
      <c r="T6062" s="44"/>
      <c r="U6062" s="44"/>
      <c r="V6062" s="44"/>
      <c r="W6062" s="44"/>
      <c r="X6062" s="44"/>
      <c r="Y6062" s="44"/>
    </row>
    <row r="6063" spans="14:25" ht="15" customHeight="1" x14ac:dyDescent="0.25">
      <c r="N6063" s="44"/>
      <c r="O6063" s="44"/>
      <c r="P6063" s="44"/>
      <c r="Q6063" s="44"/>
      <c r="R6063" s="44"/>
      <c r="S6063" s="44"/>
      <c r="T6063" s="44"/>
      <c r="U6063" s="44"/>
      <c r="V6063" s="44"/>
      <c r="W6063" s="44"/>
      <c r="X6063" s="44"/>
      <c r="Y6063" s="44"/>
    </row>
    <row r="6064" spans="14:25" ht="15" customHeight="1" x14ac:dyDescent="0.25">
      <c r="N6064" s="44"/>
      <c r="O6064" s="44"/>
      <c r="P6064" s="44"/>
      <c r="Q6064" s="44"/>
      <c r="R6064" s="44"/>
      <c r="S6064" s="44"/>
      <c r="T6064" s="44"/>
      <c r="U6064" s="44"/>
      <c r="V6064" s="44"/>
      <c r="W6064" s="44"/>
      <c r="X6064" s="44"/>
      <c r="Y6064" s="44"/>
    </row>
    <row r="6065" spans="14:25" ht="15" customHeight="1" x14ac:dyDescent="0.25">
      <c r="N6065" s="44"/>
      <c r="O6065" s="44"/>
      <c r="P6065" s="44"/>
      <c r="Q6065" s="44"/>
      <c r="R6065" s="44"/>
      <c r="S6065" s="44"/>
      <c r="T6065" s="44"/>
      <c r="U6065" s="44"/>
      <c r="V6065" s="44"/>
      <c r="W6065" s="44"/>
      <c r="X6065" s="44"/>
      <c r="Y6065" s="44"/>
    </row>
    <row r="6066" spans="14:25" ht="15" customHeight="1" x14ac:dyDescent="0.25">
      <c r="N6066" s="44"/>
      <c r="O6066" s="44"/>
      <c r="P6066" s="44"/>
      <c r="Q6066" s="44"/>
      <c r="R6066" s="44"/>
      <c r="S6066" s="44"/>
      <c r="T6066" s="44"/>
      <c r="U6066" s="44"/>
      <c r="V6066" s="44"/>
      <c r="W6066" s="44"/>
      <c r="X6066" s="44"/>
      <c r="Y6066" s="44"/>
    </row>
    <row r="6067" spans="14:25" ht="15" customHeight="1" x14ac:dyDescent="0.25">
      <c r="N6067" s="44"/>
      <c r="O6067" s="44"/>
      <c r="P6067" s="44"/>
      <c r="Q6067" s="44"/>
      <c r="R6067" s="44"/>
      <c r="S6067" s="44"/>
      <c r="T6067" s="44"/>
      <c r="U6067" s="44"/>
      <c r="V6067" s="44"/>
      <c r="W6067" s="44"/>
      <c r="X6067" s="44"/>
      <c r="Y6067" s="44"/>
    </row>
    <row r="6068" spans="14:25" ht="15" customHeight="1" x14ac:dyDescent="0.25">
      <c r="N6068" s="44"/>
      <c r="O6068" s="44"/>
      <c r="P6068" s="44"/>
      <c r="Q6068" s="44"/>
      <c r="R6068" s="44"/>
      <c r="S6068" s="44"/>
      <c r="T6068" s="44"/>
      <c r="U6068" s="44"/>
      <c r="V6068" s="44"/>
      <c r="W6068" s="44"/>
      <c r="X6068" s="44"/>
      <c r="Y6068" s="44"/>
    </row>
    <row r="6069" spans="14:25" ht="15" customHeight="1" x14ac:dyDescent="0.25">
      <c r="N6069" s="44"/>
      <c r="O6069" s="44"/>
      <c r="P6069" s="44"/>
      <c r="Q6069" s="44"/>
      <c r="R6069" s="44"/>
      <c r="S6069" s="44"/>
      <c r="T6069" s="44"/>
      <c r="U6069" s="44"/>
      <c r="V6069" s="44"/>
      <c r="W6069" s="44"/>
      <c r="X6069" s="44"/>
      <c r="Y6069" s="44"/>
    </row>
    <row r="6070" spans="14:25" ht="15" customHeight="1" x14ac:dyDescent="0.25">
      <c r="N6070" s="44"/>
      <c r="O6070" s="44"/>
      <c r="P6070" s="44"/>
      <c r="Q6070" s="44"/>
      <c r="R6070" s="44"/>
      <c r="S6070" s="44"/>
      <c r="T6070" s="44"/>
      <c r="U6070" s="44"/>
      <c r="V6070" s="44"/>
      <c r="W6070" s="44"/>
      <c r="X6070" s="44"/>
      <c r="Y6070" s="44"/>
    </row>
    <row r="6071" spans="14:25" ht="15" customHeight="1" x14ac:dyDescent="0.25">
      <c r="N6071" s="44"/>
      <c r="O6071" s="44"/>
      <c r="P6071" s="44"/>
      <c r="Q6071" s="44"/>
      <c r="R6071" s="44"/>
      <c r="S6071" s="44"/>
      <c r="T6071" s="44"/>
      <c r="U6071" s="44"/>
      <c r="V6071" s="44"/>
      <c r="W6071" s="44"/>
      <c r="X6071" s="44"/>
      <c r="Y6071" s="44"/>
    </row>
    <row r="6072" spans="14:25" ht="15" customHeight="1" x14ac:dyDescent="0.25">
      <c r="N6072" s="44"/>
      <c r="O6072" s="44"/>
      <c r="P6072" s="44"/>
      <c r="Q6072" s="44"/>
      <c r="R6072" s="44"/>
      <c r="S6072" s="44"/>
      <c r="T6072" s="44"/>
      <c r="U6072" s="44"/>
      <c r="V6072" s="44"/>
      <c r="W6072" s="44"/>
      <c r="X6072" s="44"/>
      <c r="Y6072" s="44"/>
    </row>
    <row r="6073" spans="14:25" ht="15" customHeight="1" x14ac:dyDescent="0.25">
      <c r="N6073" s="44"/>
      <c r="O6073" s="44"/>
      <c r="P6073" s="44"/>
      <c r="Q6073" s="44"/>
      <c r="R6073" s="44"/>
      <c r="S6073" s="44"/>
      <c r="T6073" s="44"/>
      <c r="U6073" s="44"/>
      <c r="V6073" s="44"/>
      <c r="W6073" s="44"/>
      <c r="X6073" s="44"/>
      <c r="Y6073" s="44"/>
    </row>
    <row r="6074" spans="14:25" ht="15" customHeight="1" x14ac:dyDescent="0.25">
      <c r="N6074" s="44"/>
      <c r="O6074" s="44"/>
      <c r="P6074" s="44"/>
      <c r="Q6074" s="44"/>
      <c r="R6074" s="44"/>
      <c r="S6074" s="44"/>
      <c r="T6074" s="44"/>
      <c r="U6074" s="44"/>
      <c r="V6074" s="44"/>
      <c r="W6074" s="44"/>
      <c r="X6074" s="44"/>
      <c r="Y6074" s="44"/>
    </row>
    <row r="6075" spans="14:25" ht="15" customHeight="1" x14ac:dyDescent="0.25">
      <c r="N6075" s="44"/>
      <c r="O6075" s="44"/>
      <c r="P6075" s="44"/>
      <c r="Q6075" s="44"/>
      <c r="R6075" s="44"/>
      <c r="S6075" s="44"/>
      <c r="T6075" s="44"/>
      <c r="U6075" s="44"/>
      <c r="V6075" s="44"/>
      <c r="W6075" s="44"/>
      <c r="X6075" s="44"/>
      <c r="Y6075" s="44"/>
    </row>
    <row r="6076" spans="14:25" ht="15" customHeight="1" x14ac:dyDescent="0.25">
      <c r="N6076" s="44"/>
      <c r="O6076" s="44"/>
      <c r="P6076" s="44"/>
      <c r="Q6076" s="44"/>
      <c r="R6076" s="44"/>
      <c r="S6076" s="44"/>
      <c r="T6076" s="44"/>
      <c r="U6076" s="44"/>
      <c r="V6076" s="44"/>
      <c r="W6076" s="44"/>
      <c r="X6076" s="44"/>
      <c r="Y6076" s="44"/>
    </row>
    <row r="6077" spans="14:25" ht="15" customHeight="1" x14ac:dyDescent="0.25">
      <c r="N6077" s="44"/>
      <c r="O6077" s="44"/>
      <c r="P6077" s="44"/>
      <c r="Q6077" s="44"/>
      <c r="R6077" s="44"/>
      <c r="S6077" s="44"/>
      <c r="T6077" s="44"/>
      <c r="U6077" s="44"/>
      <c r="V6077" s="44"/>
      <c r="W6077" s="44"/>
      <c r="X6077" s="44"/>
      <c r="Y6077" s="44"/>
    </row>
    <row r="6078" spans="14:25" ht="15" customHeight="1" x14ac:dyDescent="0.25">
      <c r="N6078" s="44"/>
      <c r="O6078" s="44"/>
      <c r="P6078" s="44"/>
      <c r="Q6078" s="44"/>
      <c r="R6078" s="44"/>
      <c r="S6078" s="44"/>
      <c r="T6078" s="44"/>
      <c r="U6078" s="44"/>
      <c r="V6078" s="44"/>
      <c r="W6078" s="44"/>
      <c r="X6078" s="44"/>
      <c r="Y6078" s="44"/>
    </row>
    <row r="6079" spans="14:25" ht="15" customHeight="1" x14ac:dyDescent="0.25">
      <c r="N6079" s="44"/>
      <c r="O6079" s="44"/>
      <c r="P6079" s="44"/>
      <c r="Q6079" s="44"/>
      <c r="R6079" s="44"/>
      <c r="S6079" s="44"/>
      <c r="T6079" s="44"/>
      <c r="U6079" s="44"/>
      <c r="V6079" s="44"/>
      <c r="W6079" s="44"/>
      <c r="X6079" s="44"/>
      <c r="Y6079" s="44"/>
    </row>
    <row r="6080" spans="14:25" ht="15" customHeight="1" x14ac:dyDescent="0.25">
      <c r="N6080" s="44"/>
      <c r="O6080" s="44"/>
      <c r="P6080" s="44"/>
      <c r="Q6080" s="44"/>
      <c r="R6080" s="44"/>
      <c r="S6080" s="44"/>
      <c r="T6080" s="44"/>
      <c r="U6080" s="44"/>
      <c r="V6080" s="44"/>
      <c r="W6080" s="44"/>
      <c r="X6080" s="44"/>
      <c r="Y6080" s="44"/>
    </row>
    <row r="6081" spans="14:25" ht="15" customHeight="1" x14ac:dyDescent="0.25">
      <c r="N6081" s="44"/>
      <c r="O6081" s="44"/>
      <c r="P6081" s="44"/>
      <c r="Q6081" s="44"/>
      <c r="R6081" s="44"/>
      <c r="S6081" s="44"/>
      <c r="T6081" s="44"/>
      <c r="U6081" s="44"/>
      <c r="V6081" s="44"/>
      <c r="W6081" s="44"/>
      <c r="X6081" s="44"/>
      <c r="Y6081" s="44"/>
    </row>
    <row r="6082" spans="14:25" ht="15" customHeight="1" x14ac:dyDescent="0.25">
      <c r="N6082" s="44"/>
      <c r="O6082" s="44"/>
      <c r="P6082" s="44"/>
      <c r="Q6082" s="44"/>
      <c r="R6082" s="44"/>
      <c r="S6082" s="44"/>
      <c r="T6082" s="44"/>
      <c r="U6082" s="44"/>
      <c r="V6082" s="44"/>
      <c r="W6082" s="44"/>
      <c r="X6082" s="44"/>
      <c r="Y6082" s="44"/>
    </row>
    <row r="6083" spans="14:25" ht="15" customHeight="1" x14ac:dyDescent="0.25">
      <c r="N6083" s="44"/>
      <c r="O6083" s="44"/>
      <c r="P6083" s="44"/>
      <c r="Q6083" s="44"/>
      <c r="R6083" s="44"/>
      <c r="S6083" s="44"/>
      <c r="T6083" s="44"/>
      <c r="U6083" s="44"/>
      <c r="V6083" s="44"/>
      <c r="W6083" s="44"/>
      <c r="X6083" s="44"/>
      <c r="Y6083" s="44"/>
    </row>
    <row r="6084" spans="14:25" ht="15" customHeight="1" x14ac:dyDescent="0.25">
      <c r="N6084" s="44"/>
      <c r="O6084" s="44"/>
      <c r="P6084" s="44"/>
      <c r="Q6084" s="44"/>
      <c r="R6084" s="44"/>
      <c r="S6084" s="44"/>
      <c r="T6084" s="44"/>
      <c r="U6084" s="44"/>
      <c r="V6084" s="44"/>
      <c r="W6084" s="44"/>
      <c r="X6084" s="44"/>
      <c r="Y6084" s="44"/>
    </row>
    <row r="6085" spans="14:25" ht="15" customHeight="1" x14ac:dyDescent="0.25">
      <c r="N6085" s="44"/>
      <c r="O6085" s="44"/>
      <c r="P6085" s="44"/>
      <c r="Q6085" s="44"/>
      <c r="R6085" s="44"/>
      <c r="S6085" s="44"/>
      <c r="T6085" s="44"/>
      <c r="U6085" s="44"/>
      <c r="V6085" s="44"/>
      <c r="W6085" s="44"/>
      <c r="X6085" s="44"/>
      <c r="Y6085" s="44"/>
    </row>
    <row r="6086" spans="14:25" ht="15" customHeight="1" x14ac:dyDescent="0.25">
      <c r="N6086" s="44"/>
      <c r="O6086" s="44"/>
      <c r="P6086" s="44"/>
      <c r="Q6086" s="44"/>
      <c r="R6086" s="44"/>
      <c r="S6086" s="44"/>
      <c r="T6086" s="44"/>
      <c r="U6086" s="44"/>
      <c r="V6086" s="44"/>
      <c r="W6086" s="44"/>
      <c r="X6086" s="44"/>
      <c r="Y6086" s="44"/>
    </row>
    <row r="6087" spans="14:25" ht="15" customHeight="1" x14ac:dyDescent="0.25">
      <c r="N6087" s="44"/>
      <c r="O6087" s="44"/>
      <c r="P6087" s="44"/>
      <c r="Q6087" s="44"/>
      <c r="R6087" s="44"/>
      <c r="S6087" s="44"/>
      <c r="T6087" s="44"/>
      <c r="U6087" s="44"/>
      <c r="V6087" s="44"/>
      <c r="W6087" s="44"/>
      <c r="X6087" s="44"/>
      <c r="Y6087" s="44"/>
    </row>
    <row r="6088" spans="14:25" ht="15" customHeight="1" x14ac:dyDescent="0.25">
      <c r="N6088" s="44"/>
      <c r="O6088" s="44"/>
      <c r="P6088" s="44"/>
      <c r="Q6088" s="44"/>
      <c r="R6088" s="44"/>
      <c r="S6088" s="44"/>
      <c r="T6088" s="44"/>
      <c r="U6088" s="44"/>
      <c r="V6088" s="44"/>
      <c r="W6088" s="44"/>
      <c r="X6088" s="44"/>
      <c r="Y6088" s="44"/>
    </row>
    <row r="6089" spans="14:25" ht="15" customHeight="1" x14ac:dyDescent="0.25">
      <c r="N6089" s="44"/>
      <c r="O6089" s="44"/>
      <c r="P6089" s="44"/>
      <c r="Q6089" s="44"/>
      <c r="R6089" s="44"/>
      <c r="S6089" s="44"/>
      <c r="T6089" s="44"/>
      <c r="U6089" s="44"/>
      <c r="V6089" s="44"/>
      <c r="W6089" s="44"/>
      <c r="X6089" s="44"/>
      <c r="Y6089" s="44"/>
    </row>
    <row r="6090" spans="14:25" ht="15" customHeight="1" x14ac:dyDescent="0.25">
      <c r="N6090" s="44"/>
      <c r="O6090" s="44"/>
      <c r="P6090" s="44"/>
      <c r="Q6090" s="44"/>
      <c r="R6090" s="44"/>
      <c r="S6090" s="44"/>
      <c r="T6090" s="44"/>
      <c r="U6090" s="44"/>
      <c r="V6090" s="44"/>
      <c r="W6090" s="44"/>
      <c r="X6090" s="44"/>
      <c r="Y6090" s="44"/>
    </row>
    <row r="6091" spans="14:25" ht="15" customHeight="1" x14ac:dyDescent="0.25">
      <c r="N6091" s="44"/>
      <c r="O6091" s="44"/>
      <c r="P6091" s="44"/>
      <c r="Q6091" s="44"/>
      <c r="R6091" s="44"/>
      <c r="S6091" s="44"/>
      <c r="T6091" s="44"/>
      <c r="U6091" s="44"/>
      <c r="V6091" s="44"/>
      <c r="W6091" s="44"/>
      <c r="X6091" s="44"/>
      <c r="Y6091" s="44"/>
    </row>
    <row r="6092" spans="14:25" ht="15" customHeight="1" x14ac:dyDescent="0.25">
      <c r="N6092" s="44"/>
      <c r="O6092" s="44"/>
      <c r="P6092" s="44"/>
      <c r="Q6092" s="44"/>
      <c r="R6092" s="44"/>
      <c r="S6092" s="44"/>
      <c r="T6092" s="44"/>
      <c r="U6092" s="44"/>
      <c r="V6092" s="44"/>
      <c r="W6092" s="44"/>
      <c r="X6092" s="44"/>
      <c r="Y6092" s="44"/>
    </row>
    <row r="6093" spans="14:25" ht="15" customHeight="1" x14ac:dyDescent="0.25">
      <c r="N6093" s="44"/>
      <c r="O6093" s="44"/>
      <c r="P6093" s="44"/>
      <c r="Q6093" s="44"/>
      <c r="R6093" s="44"/>
      <c r="S6093" s="44"/>
      <c r="T6093" s="44"/>
      <c r="U6093" s="44"/>
      <c r="V6093" s="44"/>
      <c r="W6093" s="44"/>
      <c r="X6093" s="44"/>
      <c r="Y6093" s="44"/>
    </row>
    <row r="6094" spans="14:25" ht="15" customHeight="1" x14ac:dyDescent="0.25">
      <c r="N6094" s="44"/>
      <c r="O6094" s="44"/>
      <c r="P6094" s="44"/>
      <c r="Q6094" s="44"/>
      <c r="R6094" s="44"/>
      <c r="S6094" s="44"/>
      <c r="T6094" s="44"/>
      <c r="U6094" s="44"/>
      <c r="V6094" s="44"/>
      <c r="W6094" s="44"/>
      <c r="X6094" s="44"/>
      <c r="Y6094" s="44"/>
    </row>
    <row r="6095" spans="14:25" ht="15" customHeight="1" x14ac:dyDescent="0.25">
      <c r="N6095" s="44"/>
      <c r="O6095" s="44"/>
      <c r="P6095" s="44"/>
      <c r="Q6095" s="44"/>
      <c r="R6095" s="44"/>
      <c r="S6095" s="44"/>
      <c r="T6095" s="44"/>
      <c r="U6095" s="44"/>
      <c r="V6095" s="44"/>
      <c r="W6095" s="44"/>
      <c r="X6095" s="44"/>
      <c r="Y6095" s="44"/>
    </row>
    <row r="6096" spans="14:25" ht="15" customHeight="1" x14ac:dyDescent="0.25">
      <c r="N6096" s="44"/>
      <c r="O6096" s="44"/>
      <c r="P6096" s="44"/>
      <c r="Q6096" s="44"/>
      <c r="R6096" s="44"/>
      <c r="S6096" s="44"/>
      <c r="T6096" s="44"/>
      <c r="U6096" s="44"/>
      <c r="V6096" s="44"/>
      <c r="W6096" s="44"/>
      <c r="X6096" s="44"/>
      <c r="Y6096" s="44"/>
    </row>
    <row r="6097" spans="14:25" ht="15" customHeight="1" x14ac:dyDescent="0.25">
      <c r="N6097" s="44"/>
      <c r="O6097" s="44"/>
      <c r="P6097" s="44"/>
      <c r="Q6097" s="44"/>
      <c r="R6097" s="44"/>
      <c r="S6097" s="44"/>
      <c r="T6097" s="44"/>
      <c r="U6097" s="44"/>
      <c r="V6097" s="44"/>
      <c r="W6097" s="44"/>
      <c r="X6097" s="44"/>
      <c r="Y6097" s="44"/>
    </row>
    <row r="6098" spans="14:25" ht="15" customHeight="1" x14ac:dyDescent="0.25">
      <c r="N6098" s="44"/>
      <c r="O6098" s="44"/>
      <c r="P6098" s="44"/>
      <c r="Q6098" s="44"/>
      <c r="R6098" s="44"/>
      <c r="S6098" s="44"/>
      <c r="T6098" s="44"/>
      <c r="U6098" s="44"/>
      <c r="V6098" s="44"/>
      <c r="W6098" s="44"/>
      <c r="X6098" s="44"/>
      <c r="Y6098" s="44"/>
    </row>
    <row r="6099" spans="14:25" ht="15" customHeight="1" x14ac:dyDescent="0.25">
      <c r="N6099" s="44"/>
      <c r="O6099" s="44"/>
      <c r="P6099" s="44"/>
      <c r="Q6099" s="44"/>
      <c r="R6099" s="44"/>
      <c r="S6099" s="44"/>
      <c r="T6099" s="44"/>
      <c r="U6099" s="44"/>
      <c r="V6099" s="44"/>
      <c r="W6099" s="44"/>
      <c r="X6099" s="44"/>
      <c r="Y6099" s="44"/>
    </row>
    <row r="6100" spans="14:25" ht="15" customHeight="1" x14ac:dyDescent="0.25">
      <c r="N6100" s="44"/>
      <c r="O6100" s="44"/>
      <c r="P6100" s="44"/>
      <c r="Q6100" s="44"/>
      <c r="R6100" s="44"/>
      <c r="S6100" s="44"/>
      <c r="T6100" s="44"/>
      <c r="U6100" s="44"/>
      <c r="V6100" s="44"/>
      <c r="W6100" s="44"/>
      <c r="X6100" s="44"/>
      <c r="Y6100" s="44"/>
    </row>
    <row r="6101" spans="14:25" ht="15" customHeight="1" x14ac:dyDescent="0.25">
      <c r="N6101" s="44"/>
      <c r="O6101" s="44"/>
      <c r="P6101" s="44"/>
      <c r="Q6101" s="44"/>
      <c r="R6101" s="44"/>
      <c r="S6101" s="44"/>
      <c r="T6101" s="44"/>
      <c r="U6101" s="44"/>
      <c r="V6101" s="44"/>
      <c r="W6101" s="44"/>
      <c r="X6101" s="44"/>
      <c r="Y6101" s="44"/>
    </row>
    <row r="6102" spans="14:25" ht="15" customHeight="1" x14ac:dyDescent="0.25">
      <c r="N6102" s="44"/>
      <c r="O6102" s="44"/>
      <c r="P6102" s="44"/>
      <c r="Q6102" s="44"/>
      <c r="R6102" s="44"/>
      <c r="S6102" s="44"/>
      <c r="T6102" s="44"/>
      <c r="U6102" s="44"/>
      <c r="V6102" s="44"/>
      <c r="W6102" s="44"/>
      <c r="X6102" s="44"/>
      <c r="Y6102" s="44"/>
    </row>
    <row r="6103" spans="14:25" ht="15" customHeight="1" x14ac:dyDescent="0.25">
      <c r="N6103" s="44"/>
      <c r="O6103" s="44"/>
      <c r="P6103" s="44"/>
      <c r="Q6103" s="44"/>
      <c r="R6103" s="44"/>
      <c r="S6103" s="44"/>
      <c r="T6103" s="44"/>
      <c r="U6103" s="44"/>
      <c r="V6103" s="44"/>
      <c r="W6103" s="44"/>
      <c r="X6103" s="44"/>
      <c r="Y6103" s="44"/>
    </row>
    <row r="6104" spans="14:25" ht="15" customHeight="1" x14ac:dyDescent="0.25">
      <c r="N6104" s="44"/>
      <c r="O6104" s="44"/>
      <c r="P6104" s="44"/>
      <c r="Q6104" s="44"/>
      <c r="R6104" s="44"/>
      <c r="S6104" s="44"/>
      <c r="T6104" s="44"/>
      <c r="U6104" s="44"/>
      <c r="V6104" s="44"/>
      <c r="W6104" s="44"/>
      <c r="X6104" s="44"/>
      <c r="Y6104" s="44"/>
    </row>
    <row r="6105" spans="14:25" ht="15" customHeight="1" x14ac:dyDescent="0.25">
      <c r="N6105" s="44"/>
      <c r="O6105" s="44"/>
      <c r="P6105" s="44"/>
      <c r="Q6105" s="44"/>
      <c r="R6105" s="44"/>
      <c r="S6105" s="44"/>
      <c r="T6105" s="44"/>
      <c r="U6105" s="44"/>
      <c r="V6105" s="44"/>
      <c r="W6105" s="44"/>
      <c r="X6105" s="44"/>
      <c r="Y6105" s="44"/>
    </row>
    <row r="6106" spans="14:25" ht="15" customHeight="1" x14ac:dyDescent="0.25">
      <c r="N6106" s="44"/>
      <c r="O6106" s="44"/>
      <c r="P6106" s="44"/>
      <c r="Q6106" s="44"/>
      <c r="R6106" s="44"/>
      <c r="S6106" s="44"/>
      <c r="T6106" s="44"/>
      <c r="U6106" s="44"/>
      <c r="V6106" s="44"/>
      <c r="W6106" s="44"/>
      <c r="X6106" s="44"/>
      <c r="Y6106" s="44"/>
    </row>
    <row r="6107" spans="14:25" ht="15" customHeight="1" x14ac:dyDescent="0.25">
      <c r="N6107" s="44"/>
      <c r="O6107" s="44"/>
      <c r="P6107" s="44"/>
      <c r="Q6107" s="44"/>
      <c r="R6107" s="44"/>
      <c r="S6107" s="44"/>
      <c r="T6107" s="44"/>
      <c r="U6107" s="44"/>
      <c r="V6107" s="44"/>
      <c r="W6107" s="44"/>
      <c r="X6107" s="44"/>
      <c r="Y6107" s="44"/>
    </row>
    <row r="6108" spans="14:25" ht="15" customHeight="1" x14ac:dyDescent="0.25">
      <c r="N6108" s="44"/>
      <c r="O6108" s="44"/>
      <c r="P6108" s="44"/>
      <c r="Q6108" s="44"/>
      <c r="R6108" s="44"/>
      <c r="S6108" s="44"/>
      <c r="T6108" s="44"/>
      <c r="U6108" s="44"/>
      <c r="V6108" s="44"/>
      <c r="W6108" s="44"/>
      <c r="X6108" s="44"/>
      <c r="Y6108" s="44"/>
    </row>
    <row r="6109" spans="14:25" ht="15" customHeight="1" x14ac:dyDescent="0.25">
      <c r="N6109" s="44"/>
      <c r="O6109" s="44"/>
      <c r="P6109" s="44"/>
      <c r="Q6109" s="44"/>
      <c r="R6109" s="44"/>
      <c r="S6109" s="44"/>
      <c r="T6109" s="44"/>
      <c r="U6109" s="44"/>
      <c r="V6109" s="44"/>
      <c r="W6109" s="44"/>
      <c r="X6109" s="44"/>
      <c r="Y6109" s="44"/>
    </row>
    <row r="6110" spans="14:25" ht="15" customHeight="1" x14ac:dyDescent="0.25">
      <c r="N6110" s="44"/>
      <c r="O6110" s="44"/>
      <c r="P6110" s="44"/>
      <c r="Q6110" s="44"/>
      <c r="R6110" s="44"/>
      <c r="S6110" s="44"/>
      <c r="T6110" s="44"/>
      <c r="U6110" s="44"/>
      <c r="V6110" s="44"/>
      <c r="W6110" s="44"/>
      <c r="X6110" s="44"/>
      <c r="Y6110" s="44"/>
    </row>
    <row r="6111" spans="14:25" ht="15" customHeight="1" x14ac:dyDescent="0.25">
      <c r="N6111" s="44"/>
      <c r="O6111" s="44"/>
      <c r="P6111" s="44"/>
      <c r="Q6111" s="44"/>
      <c r="R6111" s="44"/>
      <c r="S6111" s="44"/>
      <c r="T6111" s="44"/>
      <c r="U6111" s="44"/>
      <c r="V6111" s="44"/>
      <c r="W6111" s="44"/>
      <c r="X6111" s="44"/>
      <c r="Y6111" s="44"/>
    </row>
    <row r="6112" spans="14:25" ht="15" customHeight="1" x14ac:dyDescent="0.25">
      <c r="N6112" s="44"/>
      <c r="O6112" s="44"/>
      <c r="P6112" s="44"/>
      <c r="Q6112" s="44"/>
      <c r="R6112" s="44"/>
      <c r="S6112" s="44"/>
      <c r="T6112" s="44"/>
      <c r="U6112" s="44"/>
      <c r="V6112" s="44"/>
      <c r="W6112" s="44"/>
      <c r="X6112" s="44"/>
      <c r="Y6112" s="44"/>
    </row>
    <row r="6113" spans="14:25" ht="15" customHeight="1" x14ac:dyDescent="0.25">
      <c r="N6113" s="44"/>
      <c r="O6113" s="44"/>
      <c r="P6113" s="44"/>
      <c r="Q6113" s="44"/>
      <c r="R6113" s="44"/>
      <c r="S6113" s="44"/>
      <c r="T6113" s="44"/>
      <c r="U6113" s="44"/>
      <c r="V6113" s="44"/>
      <c r="W6113" s="44"/>
      <c r="X6113" s="44"/>
      <c r="Y6113" s="44"/>
    </row>
    <row r="6114" spans="14:25" ht="15" customHeight="1" x14ac:dyDescent="0.25">
      <c r="N6114" s="44"/>
      <c r="O6114" s="44"/>
      <c r="P6114" s="44"/>
      <c r="Q6114" s="44"/>
      <c r="R6114" s="44"/>
      <c r="S6114" s="44"/>
      <c r="T6114" s="44"/>
      <c r="U6114" s="44"/>
      <c r="V6114" s="44"/>
      <c r="W6114" s="44"/>
      <c r="X6114" s="44"/>
      <c r="Y6114" s="44"/>
    </row>
    <row r="6115" spans="14:25" ht="15" customHeight="1" x14ac:dyDescent="0.25">
      <c r="N6115" s="44"/>
      <c r="O6115" s="44"/>
      <c r="P6115" s="44"/>
      <c r="Q6115" s="44"/>
      <c r="R6115" s="44"/>
      <c r="S6115" s="44"/>
      <c r="T6115" s="44"/>
      <c r="U6115" s="44"/>
      <c r="V6115" s="44"/>
      <c r="W6115" s="44"/>
      <c r="X6115" s="44"/>
      <c r="Y6115" s="44"/>
    </row>
    <row r="6116" spans="14:25" ht="15" customHeight="1" x14ac:dyDescent="0.25">
      <c r="N6116" s="44"/>
      <c r="O6116" s="44"/>
      <c r="P6116" s="44"/>
      <c r="Q6116" s="44"/>
      <c r="R6116" s="44"/>
      <c r="S6116" s="44"/>
      <c r="T6116" s="44"/>
      <c r="U6116" s="44"/>
      <c r="V6116" s="44"/>
      <c r="W6116" s="44"/>
      <c r="X6116" s="44"/>
      <c r="Y6116" s="44"/>
    </row>
    <row r="6117" spans="14:25" ht="15" customHeight="1" x14ac:dyDescent="0.25">
      <c r="N6117" s="44"/>
      <c r="O6117" s="44"/>
      <c r="P6117" s="44"/>
      <c r="Q6117" s="44"/>
      <c r="R6117" s="44"/>
      <c r="S6117" s="44"/>
      <c r="T6117" s="44"/>
      <c r="U6117" s="44"/>
      <c r="V6117" s="44"/>
      <c r="W6117" s="44"/>
      <c r="X6117" s="44"/>
      <c r="Y6117" s="44"/>
    </row>
    <row r="6118" spans="14:25" ht="15" customHeight="1" x14ac:dyDescent="0.25">
      <c r="N6118" s="44"/>
      <c r="O6118" s="44"/>
      <c r="P6118" s="44"/>
      <c r="Q6118" s="44"/>
      <c r="R6118" s="44"/>
      <c r="S6118" s="44"/>
      <c r="T6118" s="44"/>
      <c r="U6118" s="44"/>
      <c r="V6118" s="44"/>
      <c r="W6118" s="44"/>
      <c r="X6118" s="44"/>
      <c r="Y6118" s="44"/>
    </row>
    <row r="6119" spans="14:25" ht="15" customHeight="1" x14ac:dyDescent="0.25">
      <c r="N6119" s="44"/>
      <c r="O6119" s="44"/>
      <c r="P6119" s="44"/>
      <c r="Q6119" s="44"/>
      <c r="R6119" s="44"/>
      <c r="S6119" s="44"/>
      <c r="T6119" s="44"/>
      <c r="U6119" s="44"/>
      <c r="V6119" s="44"/>
      <c r="W6119" s="44"/>
      <c r="X6119" s="44"/>
      <c r="Y6119" s="44"/>
    </row>
    <row r="6120" spans="14:25" ht="15" customHeight="1" x14ac:dyDescent="0.25">
      <c r="N6120" s="44"/>
      <c r="O6120" s="44"/>
      <c r="P6120" s="44"/>
      <c r="Q6120" s="44"/>
      <c r="R6120" s="44"/>
      <c r="S6120" s="44"/>
      <c r="T6120" s="44"/>
      <c r="U6120" s="44"/>
      <c r="V6120" s="44"/>
      <c r="W6120" s="44"/>
      <c r="X6120" s="44"/>
      <c r="Y6120" s="44"/>
    </row>
    <row r="6121" spans="14:25" ht="15" customHeight="1" x14ac:dyDescent="0.25">
      <c r="N6121" s="44"/>
      <c r="O6121" s="44"/>
      <c r="P6121" s="44"/>
      <c r="Q6121" s="44"/>
      <c r="R6121" s="44"/>
      <c r="S6121" s="44"/>
      <c r="T6121" s="44"/>
      <c r="U6121" s="44"/>
      <c r="V6121" s="44"/>
      <c r="W6121" s="44"/>
      <c r="X6121" s="44"/>
      <c r="Y6121" s="44"/>
    </row>
    <row r="6122" spans="14:25" ht="15" customHeight="1" x14ac:dyDescent="0.25">
      <c r="N6122" s="44"/>
      <c r="O6122" s="44"/>
      <c r="P6122" s="44"/>
      <c r="Q6122" s="44"/>
      <c r="R6122" s="44"/>
      <c r="S6122" s="44"/>
      <c r="T6122" s="44"/>
      <c r="U6122" s="44"/>
      <c r="V6122" s="44"/>
      <c r="W6122" s="44"/>
      <c r="X6122" s="44"/>
      <c r="Y6122" s="44"/>
    </row>
    <row r="6123" spans="14:25" ht="15" customHeight="1" x14ac:dyDescent="0.25">
      <c r="N6123" s="44"/>
      <c r="O6123" s="44"/>
      <c r="P6123" s="44"/>
      <c r="Q6123" s="44"/>
      <c r="R6123" s="44"/>
      <c r="S6123" s="44"/>
      <c r="T6123" s="44"/>
      <c r="U6123" s="44"/>
      <c r="V6123" s="44"/>
      <c r="W6123" s="44"/>
      <c r="X6123" s="44"/>
      <c r="Y6123" s="44"/>
    </row>
    <row r="6124" spans="14:25" ht="15" customHeight="1" x14ac:dyDescent="0.25">
      <c r="N6124" s="44"/>
      <c r="O6124" s="44"/>
      <c r="P6124" s="44"/>
      <c r="Q6124" s="44"/>
      <c r="R6124" s="44"/>
      <c r="S6124" s="44"/>
      <c r="T6124" s="44"/>
      <c r="U6124" s="44"/>
      <c r="V6124" s="44"/>
      <c r="W6124" s="44"/>
      <c r="X6124" s="44"/>
      <c r="Y6124" s="44"/>
    </row>
    <row r="6125" spans="14:25" ht="15" customHeight="1" x14ac:dyDescent="0.25">
      <c r="N6125" s="44"/>
      <c r="O6125" s="44"/>
      <c r="P6125" s="44"/>
      <c r="Q6125" s="44"/>
      <c r="R6125" s="44"/>
      <c r="S6125" s="44"/>
      <c r="T6125" s="44"/>
      <c r="U6125" s="44"/>
      <c r="V6125" s="44"/>
      <c r="W6125" s="44"/>
      <c r="X6125" s="44"/>
      <c r="Y6125" s="44"/>
    </row>
    <row r="6126" spans="14:25" ht="15" customHeight="1" x14ac:dyDescent="0.25">
      <c r="N6126" s="44"/>
      <c r="O6126" s="44"/>
      <c r="P6126" s="44"/>
      <c r="Q6126" s="44"/>
      <c r="R6126" s="44"/>
      <c r="S6126" s="44"/>
      <c r="T6126" s="44"/>
      <c r="U6126" s="44"/>
      <c r="V6126" s="44"/>
      <c r="W6126" s="44"/>
      <c r="X6126" s="44"/>
      <c r="Y6126" s="44"/>
    </row>
    <row r="6127" spans="14:25" ht="15" customHeight="1" x14ac:dyDescent="0.25">
      <c r="N6127" s="44"/>
      <c r="O6127" s="44"/>
      <c r="P6127" s="44"/>
      <c r="Q6127" s="44"/>
      <c r="R6127" s="44"/>
      <c r="S6127" s="44"/>
      <c r="T6127" s="44"/>
      <c r="U6127" s="44"/>
      <c r="V6127" s="44"/>
      <c r="W6127" s="44"/>
      <c r="X6127" s="44"/>
      <c r="Y6127" s="44"/>
    </row>
    <row r="6128" spans="14:25" ht="15" customHeight="1" x14ac:dyDescent="0.25">
      <c r="N6128" s="44"/>
      <c r="O6128" s="44"/>
      <c r="P6128" s="44"/>
      <c r="Q6128" s="44"/>
      <c r="R6128" s="44"/>
      <c r="S6128" s="44"/>
      <c r="T6128" s="44"/>
      <c r="U6128" s="44"/>
      <c r="V6128" s="44"/>
      <c r="W6128" s="44"/>
      <c r="X6128" s="44"/>
      <c r="Y6128" s="44"/>
    </row>
    <row r="6129" spans="14:25" ht="15" customHeight="1" x14ac:dyDescent="0.25">
      <c r="N6129" s="44"/>
      <c r="O6129" s="44"/>
      <c r="P6129" s="44"/>
      <c r="Q6129" s="44"/>
      <c r="R6129" s="44"/>
      <c r="S6129" s="44"/>
      <c r="T6129" s="44"/>
      <c r="U6129" s="44"/>
      <c r="V6129" s="44"/>
      <c r="W6129" s="44"/>
      <c r="X6129" s="44"/>
      <c r="Y6129" s="44"/>
    </row>
    <row r="6130" spans="14:25" ht="15" customHeight="1" x14ac:dyDescent="0.25">
      <c r="N6130" s="44"/>
      <c r="O6130" s="44"/>
      <c r="P6130" s="44"/>
      <c r="Q6130" s="44"/>
      <c r="R6130" s="44"/>
      <c r="S6130" s="44"/>
      <c r="T6130" s="44"/>
      <c r="U6130" s="44"/>
      <c r="V6130" s="44"/>
      <c r="W6130" s="44"/>
      <c r="X6130" s="44"/>
      <c r="Y6130" s="44"/>
    </row>
    <row r="6131" spans="14:25" ht="15" customHeight="1" x14ac:dyDescent="0.25">
      <c r="N6131" s="44"/>
      <c r="O6131" s="44"/>
      <c r="P6131" s="44"/>
      <c r="Q6131" s="44"/>
      <c r="R6131" s="44"/>
      <c r="S6131" s="44"/>
      <c r="T6131" s="44"/>
      <c r="U6131" s="44"/>
      <c r="V6131" s="44"/>
      <c r="W6131" s="44"/>
      <c r="X6131" s="44"/>
      <c r="Y6131" s="44"/>
    </row>
    <row r="6132" spans="14:25" ht="15" customHeight="1" x14ac:dyDescent="0.25">
      <c r="N6132" s="44"/>
      <c r="O6132" s="44"/>
      <c r="P6132" s="44"/>
      <c r="Q6132" s="44"/>
      <c r="R6132" s="44"/>
      <c r="S6132" s="44"/>
      <c r="T6132" s="44"/>
      <c r="U6132" s="44"/>
      <c r="V6132" s="44"/>
      <c r="W6132" s="44"/>
      <c r="X6132" s="44"/>
      <c r="Y6132" s="44"/>
    </row>
    <row r="6133" spans="14:25" ht="15" customHeight="1" x14ac:dyDescent="0.25">
      <c r="N6133" s="44"/>
      <c r="O6133" s="44"/>
      <c r="P6133" s="44"/>
      <c r="Q6133" s="44"/>
      <c r="R6133" s="44"/>
      <c r="S6133" s="44"/>
      <c r="T6133" s="44"/>
      <c r="U6133" s="44"/>
      <c r="V6133" s="44"/>
      <c r="W6133" s="44"/>
      <c r="X6133" s="44"/>
      <c r="Y6133" s="44"/>
    </row>
    <row r="6134" spans="14:25" ht="15" customHeight="1" x14ac:dyDescent="0.25">
      <c r="N6134" s="44"/>
      <c r="O6134" s="44"/>
      <c r="P6134" s="44"/>
      <c r="Q6134" s="44"/>
      <c r="R6134" s="44"/>
      <c r="S6134" s="44"/>
      <c r="T6134" s="44"/>
      <c r="U6134" s="44"/>
      <c r="V6134" s="44"/>
      <c r="W6134" s="44"/>
      <c r="X6134" s="44"/>
      <c r="Y6134" s="44"/>
    </row>
    <row r="6135" spans="14:25" ht="15" customHeight="1" x14ac:dyDescent="0.25">
      <c r="N6135" s="44"/>
      <c r="O6135" s="44"/>
      <c r="P6135" s="44"/>
      <c r="Q6135" s="44"/>
      <c r="R6135" s="44"/>
      <c r="S6135" s="44"/>
      <c r="T6135" s="44"/>
      <c r="U6135" s="44"/>
      <c r="V6135" s="44"/>
      <c r="W6135" s="44"/>
      <c r="X6135" s="44"/>
      <c r="Y6135" s="44"/>
    </row>
    <row r="6136" spans="14:25" ht="15" customHeight="1" x14ac:dyDescent="0.25">
      <c r="N6136" s="44"/>
      <c r="O6136" s="44"/>
      <c r="P6136" s="44"/>
      <c r="Q6136" s="44"/>
      <c r="R6136" s="44"/>
      <c r="S6136" s="44"/>
      <c r="T6136" s="44"/>
      <c r="U6136" s="44"/>
      <c r="V6136" s="44"/>
      <c r="W6136" s="44"/>
      <c r="X6136" s="44"/>
      <c r="Y6136" s="44"/>
    </row>
    <row r="6137" spans="14:25" ht="15" customHeight="1" x14ac:dyDescent="0.25">
      <c r="N6137" s="44"/>
      <c r="O6137" s="44"/>
      <c r="P6137" s="44"/>
      <c r="Q6137" s="44"/>
      <c r="R6137" s="44"/>
      <c r="S6137" s="44"/>
      <c r="T6137" s="44"/>
      <c r="U6137" s="44"/>
      <c r="V6137" s="44"/>
      <c r="W6137" s="44"/>
      <c r="X6137" s="44"/>
      <c r="Y6137" s="44"/>
    </row>
    <row r="6138" spans="14:25" ht="15" customHeight="1" x14ac:dyDescent="0.25">
      <c r="N6138" s="44"/>
      <c r="O6138" s="44"/>
      <c r="P6138" s="44"/>
      <c r="Q6138" s="44"/>
      <c r="R6138" s="44"/>
      <c r="S6138" s="44"/>
      <c r="T6138" s="44"/>
      <c r="U6138" s="44"/>
      <c r="V6138" s="44"/>
      <c r="W6138" s="44"/>
      <c r="X6138" s="44"/>
      <c r="Y6138" s="44"/>
    </row>
    <row r="6139" spans="14:25" ht="15" customHeight="1" x14ac:dyDescent="0.25">
      <c r="N6139" s="44"/>
      <c r="O6139" s="44"/>
      <c r="P6139" s="44"/>
      <c r="Q6139" s="44"/>
      <c r="R6139" s="44"/>
      <c r="S6139" s="44"/>
      <c r="T6139" s="44"/>
      <c r="U6139" s="44"/>
      <c r="V6139" s="44"/>
      <c r="W6139" s="44"/>
      <c r="X6139" s="44"/>
      <c r="Y6139" s="44"/>
    </row>
    <row r="6140" spans="14:25" ht="15" customHeight="1" x14ac:dyDescent="0.25">
      <c r="N6140" s="44"/>
      <c r="O6140" s="44"/>
      <c r="P6140" s="44"/>
      <c r="Q6140" s="44"/>
      <c r="R6140" s="44"/>
      <c r="S6140" s="44"/>
      <c r="T6140" s="44"/>
      <c r="U6140" s="44"/>
      <c r="V6140" s="44"/>
      <c r="W6140" s="44"/>
      <c r="X6140" s="44"/>
      <c r="Y6140" s="44"/>
    </row>
    <row r="6141" spans="14:25" ht="15" customHeight="1" x14ac:dyDescent="0.25">
      <c r="N6141" s="44"/>
      <c r="O6141" s="44"/>
      <c r="P6141" s="44"/>
      <c r="Q6141" s="44"/>
      <c r="R6141" s="44"/>
      <c r="S6141" s="44"/>
      <c r="T6141" s="44"/>
      <c r="U6141" s="44"/>
      <c r="V6141" s="44"/>
      <c r="W6141" s="44"/>
      <c r="X6141" s="44"/>
      <c r="Y6141" s="44"/>
    </row>
    <row r="6142" spans="14:25" ht="15" customHeight="1" x14ac:dyDescent="0.25">
      <c r="N6142" s="44"/>
      <c r="O6142" s="44"/>
      <c r="P6142" s="44"/>
      <c r="Q6142" s="44"/>
      <c r="R6142" s="44"/>
      <c r="S6142" s="44"/>
      <c r="T6142" s="44"/>
      <c r="U6142" s="44"/>
      <c r="V6142" s="44"/>
      <c r="W6142" s="44"/>
      <c r="X6142" s="44"/>
      <c r="Y6142" s="44"/>
    </row>
    <row r="6143" spans="14:25" ht="15" customHeight="1" x14ac:dyDescent="0.25">
      <c r="N6143" s="44"/>
      <c r="O6143" s="44"/>
      <c r="P6143" s="44"/>
      <c r="Q6143" s="44"/>
      <c r="R6143" s="44"/>
      <c r="S6143" s="44"/>
      <c r="T6143" s="44"/>
      <c r="U6143" s="44"/>
      <c r="V6143" s="44"/>
      <c r="W6143" s="44"/>
      <c r="X6143" s="44"/>
      <c r="Y6143" s="44"/>
    </row>
    <row r="6144" spans="14:25" ht="15" customHeight="1" x14ac:dyDescent="0.25">
      <c r="N6144" s="44"/>
      <c r="O6144" s="44"/>
      <c r="P6144" s="44"/>
      <c r="Q6144" s="44"/>
      <c r="R6144" s="44"/>
      <c r="S6144" s="44"/>
      <c r="T6144" s="44"/>
      <c r="U6144" s="44"/>
      <c r="V6144" s="44"/>
      <c r="W6144" s="44"/>
      <c r="X6144" s="44"/>
      <c r="Y6144" s="44"/>
    </row>
    <row r="6145" spans="14:25" ht="15" customHeight="1" x14ac:dyDescent="0.25">
      <c r="N6145" s="44"/>
      <c r="O6145" s="44"/>
      <c r="P6145" s="44"/>
      <c r="Q6145" s="44"/>
      <c r="R6145" s="44"/>
      <c r="S6145" s="44"/>
      <c r="T6145" s="44"/>
      <c r="U6145" s="44"/>
      <c r="V6145" s="44"/>
      <c r="W6145" s="44"/>
      <c r="X6145" s="44"/>
      <c r="Y6145" s="44"/>
    </row>
    <row r="6146" spans="14:25" ht="15" customHeight="1" x14ac:dyDescent="0.25">
      <c r="N6146" s="44"/>
      <c r="O6146" s="44"/>
      <c r="P6146" s="44"/>
      <c r="Q6146" s="44"/>
      <c r="R6146" s="44"/>
      <c r="S6146" s="44"/>
      <c r="T6146" s="44"/>
      <c r="U6146" s="44"/>
      <c r="V6146" s="44"/>
      <c r="W6146" s="44"/>
      <c r="X6146" s="44"/>
      <c r="Y6146" s="44"/>
    </row>
    <row r="6147" spans="14:25" ht="15" customHeight="1" x14ac:dyDescent="0.25">
      <c r="N6147" s="44"/>
      <c r="O6147" s="44"/>
      <c r="P6147" s="44"/>
      <c r="Q6147" s="44"/>
      <c r="R6147" s="44"/>
      <c r="S6147" s="44"/>
      <c r="T6147" s="44"/>
      <c r="U6147" s="44"/>
      <c r="V6147" s="44"/>
      <c r="W6147" s="44"/>
      <c r="X6147" s="44"/>
      <c r="Y6147" s="44"/>
    </row>
    <row r="6148" spans="14:25" ht="15" customHeight="1" x14ac:dyDescent="0.25">
      <c r="N6148" s="44"/>
      <c r="O6148" s="44"/>
      <c r="P6148" s="44"/>
      <c r="Q6148" s="44"/>
      <c r="R6148" s="44"/>
      <c r="S6148" s="44"/>
      <c r="T6148" s="44"/>
      <c r="U6148" s="44"/>
      <c r="V6148" s="44"/>
      <c r="W6148" s="44"/>
      <c r="X6148" s="44"/>
      <c r="Y6148" s="44"/>
    </row>
    <row r="6149" spans="14:25" ht="15" customHeight="1" x14ac:dyDescent="0.25">
      <c r="N6149" s="44"/>
      <c r="O6149" s="44"/>
      <c r="P6149" s="44"/>
      <c r="Q6149" s="44"/>
      <c r="R6149" s="44"/>
      <c r="S6149" s="44"/>
      <c r="T6149" s="44"/>
      <c r="U6149" s="44"/>
      <c r="V6149" s="44"/>
      <c r="W6149" s="44"/>
      <c r="X6149" s="44"/>
      <c r="Y6149" s="44"/>
    </row>
    <row r="6150" spans="14:25" ht="15" customHeight="1" x14ac:dyDescent="0.25">
      <c r="N6150" s="44"/>
      <c r="O6150" s="44"/>
      <c r="P6150" s="44"/>
      <c r="Q6150" s="44"/>
      <c r="R6150" s="44"/>
      <c r="S6150" s="44"/>
      <c r="T6150" s="44"/>
      <c r="U6150" s="44"/>
      <c r="V6150" s="44"/>
      <c r="W6150" s="44"/>
      <c r="X6150" s="44"/>
      <c r="Y6150" s="44"/>
    </row>
    <row r="6151" spans="14:25" ht="15" customHeight="1" x14ac:dyDescent="0.25">
      <c r="N6151" s="44"/>
      <c r="O6151" s="44"/>
      <c r="P6151" s="44"/>
      <c r="Q6151" s="44"/>
      <c r="R6151" s="44"/>
      <c r="S6151" s="44"/>
      <c r="T6151" s="44"/>
      <c r="U6151" s="44"/>
      <c r="V6151" s="44"/>
      <c r="W6151" s="44"/>
      <c r="X6151" s="44"/>
      <c r="Y6151" s="44"/>
    </row>
    <row r="6152" spans="14:25" ht="15" customHeight="1" x14ac:dyDescent="0.25">
      <c r="N6152" s="44"/>
      <c r="O6152" s="44"/>
      <c r="P6152" s="44"/>
      <c r="Q6152" s="44"/>
      <c r="R6152" s="44"/>
      <c r="S6152" s="44"/>
      <c r="T6152" s="44"/>
      <c r="U6152" s="44"/>
      <c r="V6152" s="44"/>
      <c r="W6152" s="44"/>
      <c r="X6152" s="44"/>
      <c r="Y6152" s="44"/>
    </row>
    <row r="6153" spans="14:25" ht="15" customHeight="1" x14ac:dyDescent="0.25">
      <c r="N6153" s="44"/>
      <c r="O6153" s="44"/>
      <c r="P6153" s="44"/>
      <c r="Q6153" s="44"/>
      <c r="R6153" s="44"/>
      <c r="S6153" s="44"/>
      <c r="T6153" s="44"/>
      <c r="U6153" s="44"/>
      <c r="V6153" s="44"/>
      <c r="W6153" s="44"/>
      <c r="X6153" s="44"/>
      <c r="Y6153" s="44"/>
    </row>
    <row r="6154" spans="14:25" ht="15" customHeight="1" x14ac:dyDescent="0.25">
      <c r="N6154" s="44"/>
      <c r="O6154" s="44"/>
      <c r="P6154" s="44"/>
      <c r="Q6154" s="44"/>
      <c r="R6154" s="44"/>
      <c r="S6154" s="44"/>
      <c r="T6154" s="44"/>
      <c r="U6154" s="44"/>
      <c r="V6154" s="44"/>
      <c r="W6154" s="44"/>
      <c r="X6154" s="44"/>
      <c r="Y6154" s="44"/>
    </row>
    <row r="6155" spans="14:25" ht="15" customHeight="1" x14ac:dyDescent="0.25">
      <c r="N6155" s="44"/>
      <c r="O6155" s="44"/>
      <c r="P6155" s="44"/>
      <c r="Q6155" s="44"/>
      <c r="R6155" s="44"/>
      <c r="S6155" s="44"/>
      <c r="T6155" s="44"/>
      <c r="U6155" s="44"/>
      <c r="V6155" s="44"/>
      <c r="W6155" s="44"/>
      <c r="X6155" s="44"/>
      <c r="Y6155" s="44"/>
    </row>
    <row r="6156" spans="14:25" ht="15" customHeight="1" x14ac:dyDescent="0.25">
      <c r="N6156" s="44"/>
      <c r="O6156" s="44"/>
      <c r="P6156" s="44"/>
      <c r="Q6156" s="44"/>
      <c r="R6156" s="44"/>
      <c r="S6156" s="44"/>
      <c r="T6156" s="44"/>
      <c r="U6156" s="44"/>
      <c r="V6156" s="44"/>
      <c r="W6156" s="44"/>
      <c r="X6156" s="44"/>
      <c r="Y6156" s="44"/>
    </row>
    <row r="6157" spans="14:25" ht="15" customHeight="1" x14ac:dyDescent="0.25">
      <c r="N6157" s="44"/>
      <c r="O6157" s="44"/>
      <c r="P6157" s="44"/>
      <c r="Q6157" s="44"/>
      <c r="R6157" s="44"/>
      <c r="S6157" s="44"/>
      <c r="T6157" s="44"/>
      <c r="U6157" s="44"/>
      <c r="V6157" s="44"/>
      <c r="W6157" s="44"/>
      <c r="X6157" s="44"/>
      <c r="Y6157" s="44"/>
    </row>
    <row r="6158" spans="14:25" ht="15" customHeight="1" x14ac:dyDescent="0.25">
      <c r="N6158" s="44"/>
      <c r="O6158" s="44"/>
      <c r="P6158" s="44"/>
      <c r="Q6158" s="44"/>
      <c r="R6158" s="44"/>
      <c r="S6158" s="44"/>
      <c r="T6158" s="44"/>
      <c r="U6158" s="44"/>
      <c r="V6158" s="44"/>
      <c r="W6158" s="44"/>
      <c r="X6158" s="44"/>
      <c r="Y6158" s="44"/>
    </row>
    <row r="6159" spans="14:25" ht="15" customHeight="1" x14ac:dyDescent="0.25">
      <c r="N6159" s="44"/>
      <c r="O6159" s="44"/>
      <c r="P6159" s="44"/>
      <c r="Q6159" s="44"/>
      <c r="R6159" s="44"/>
      <c r="S6159" s="44"/>
      <c r="T6159" s="44"/>
      <c r="U6159" s="44"/>
      <c r="V6159" s="44"/>
      <c r="W6159" s="44"/>
      <c r="X6159" s="44"/>
      <c r="Y6159" s="44"/>
    </row>
    <row r="6160" spans="14:25" ht="15" customHeight="1" x14ac:dyDescent="0.25">
      <c r="N6160" s="44"/>
      <c r="O6160" s="44"/>
      <c r="P6160" s="44"/>
      <c r="Q6160" s="44"/>
      <c r="R6160" s="44"/>
      <c r="S6160" s="44"/>
      <c r="T6160" s="44"/>
      <c r="U6160" s="44"/>
      <c r="V6160" s="44"/>
      <c r="W6160" s="44"/>
      <c r="X6160" s="44"/>
      <c r="Y6160" s="44"/>
    </row>
    <row r="6161" spans="14:25" ht="15" customHeight="1" x14ac:dyDescent="0.25">
      <c r="N6161" s="44"/>
      <c r="O6161" s="44"/>
      <c r="P6161" s="44"/>
      <c r="Q6161" s="44"/>
      <c r="R6161" s="44"/>
      <c r="S6161" s="44"/>
      <c r="T6161" s="44"/>
      <c r="U6161" s="44"/>
      <c r="V6161" s="44"/>
      <c r="W6161" s="44"/>
      <c r="X6161" s="44"/>
      <c r="Y6161" s="44"/>
    </row>
    <row r="6162" spans="14:25" ht="15" customHeight="1" x14ac:dyDescent="0.25">
      <c r="N6162" s="44"/>
      <c r="O6162" s="44"/>
      <c r="P6162" s="44"/>
      <c r="Q6162" s="44"/>
      <c r="R6162" s="44"/>
      <c r="S6162" s="44"/>
      <c r="T6162" s="44"/>
      <c r="U6162" s="44"/>
      <c r="V6162" s="44"/>
      <c r="W6162" s="44"/>
      <c r="X6162" s="44"/>
      <c r="Y6162" s="44"/>
    </row>
    <row r="6163" spans="14:25" ht="15" customHeight="1" x14ac:dyDescent="0.25">
      <c r="N6163" s="44"/>
      <c r="O6163" s="44"/>
      <c r="P6163" s="44"/>
      <c r="Q6163" s="44"/>
      <c r="R6163" s="44"/>
      <c r="S6163" s="44"/>
      <c r="T6163" s="44"/>
      <c r="U6163" s="44"/>
      <c r="V6163" s="44"/>
      <c r="W6163" s="44"/>
      <c r="X6163" s="44"/>
      <c r="Y6163" s="44"/>
    </row>
    <row r="6164" spans="14:25" ht="15" customHeight="1" x14ac:dyDescent="0.25">
      <c r="N6164" s="44"/>
      <c r="O6164" s="44"/>
      <c r="P6164" s="44"/>
      <c r="Q6164" s="44"/>
      <c r="R6164" s="44"/>
      <c r="S6164" s="44"/>
      <c r="T6164" s="44"/>
      <c r="U6164" s="44"/>
      <c r="V6164" s="44"/>
      <c r="W6164" s="44"/>
      <c r="X6164" s="44"/>
      <c r="Y6164" s="44"/>
    </row>
    <row r="6165" spans="14:25" ht="15" customHeight="1" x14ac:dyDescent="0.25">
      <c r="N6165" s="44"/>
      <c r="O6165" s="44"/>
      <c r="P6165" s="44"/>
      <c r="Q6165" s="44"/>
      <c r="R6165" s="44"/>
      <c r="S6165" s="44"/>
      <c r="T6165" s="44"/>
      <c r="U6165" s="44"/>
      <c r="V6165" s="44"/>
      <c r="W6165" s="44"/>
      <c r="X6165" s="44"/>
      <c r="Y6165" s="44"/>
    </row>
    <row r="6166" spans="14:25" ht="15" customHeight="1" x14ac:dyDescent="0.25">
      <c r="N6166" s="44"/>
      <c r="O6166" s="44"/>
      <c r="P6166" s="44"/>
      <c r="Q6166" s="44"/>
      <c r="R6166" s="44"/>
      <c r="S6166" s="44"/>
      <c r="T6166" s="44"/>
      <c r="U6166" s="44"/>
      <c r="V6166" s="44"/>
      <c r="W6166" s="44"/>
      <c r="X6166" s="44"/>
      <c r="Y6166" s="44"/>
    </row>
    <row r="6167" spans="14:25" ht="15" customHeight="1" x14ac:dyDescent="0.25">
      <c r="N6167" s="44"/>
      <c r="O6167" s="44"/>
      <c r="P6167" s="44"/>
      <c r="Q6167" s="44"/>
      <c r="R6167" s="44"/>
      <c r="S6167" s="44"/>
      <c r="T6167" s="44"/>
      <c r="U6167" s="44"/>
      <c r="V6167" s="44"/>
      <c r="W6167" s="44"/>
      <c r="X6167" s="44"/>
      <c r="Y6167" s="44"/>
    </row>
    <row r="6168" spans="14:25" ht="15" customHeight="1" x14ac:dyDescent="0.25">
      <c r="N6168" s="44"/>
      <c r="O6168" s="44"/>
      <c r="P6168" s="44"/>
      <c r="Q6168" s="44"/>
      <c r="R6168" s="44"/>
      <c r="S6168" s="44"/>
      <c r="T6168" s="44"/>
      <c r="U6168" s="44"/>
      <c r="V6168" s="44"/>
      <c r="W6168" s="44"/>
      <c r="X6168" s="44"/>
      <c r="Y6168" s="44"/>
    </row>
    <row r="6169" spans="14:25" ht="15" customHeight="1" x14ac:dyDescent="0.25">
      <c r="N6169" s="44"/>
      <c r="O6169" s="44"/>
      <c r="P6169" s="44"/>
      <c r="Q6169" s="44"/>
      <c r="R6169" s="44"/>
      <c r="S6169" s="44"/>
      <c r="T6169" s="44"/>
      <c r="U6169" s="44"/>
      <c r="V6169" s="44"/>
      <c r="W6169" s="44"/>
      <c r="X6169" s="44"/>
      <c r="Y6169" s="44"/>
    </row>
    <row r="6170" spans="14:25" ht="15" customHeight="1" x14ac:dyDescent="0.25">
      <c r="N6170" s="44"/>
      <c r="O6170" s="44"/>
      <c r="P6170" s="44"/>
      <c r="Q6170" s="44"/>
      <c r="R6170" s="44"/>
      <c r="S6170" s="44"/>
      <c r="T6170" s="44"/>
      <c r="U6170" s="44"/>
      <c r="V6170" s="44"/>
      <c r="W6170" s="44"/>
      <c r="X6170" s="44"/>
      <c r="Y6170" s="44"/>
    </row>
    <row r="6171" spans="14:25" ht="15" customHeight="1" x14ac:dyDescent="0.25">
      <c r="N6171" s="44"/>
      <c r="O6171" s="44"/>
      <c r="P6171" s="44"/>
      <c r="Q6171" s="44"/>
      <c r="R6171" s="44"/>
      <c r="S6171" s="44"/>
      <c r="T6171" s="44"/>
      <c r="U6171" s="44"/>
      <c r="V6171" s="44"/>
      <c r="W6171" s="44"/>
      <c r="X6171" s="44"/>
      <c r="Y6171" s="44"/>
    </row>
    <row r="6172" spans="14:25" ht="15" customHeight="1" x14ac:dyDescent="0.25">
      <c r="N6172" s="44"/>
      <c r="O6172" s="44"/>
      <c r="P6172" s="44"/>
      <c r="Q6172" s="44"/>
      <c r="R6172" s="44"/>
      <c r="S6172" s="44"/>
      <c r="T6172" s="44"/>
      <c r="U6172" s="44"/>
      <c r="V6172" s="44"/>
      <c r="W6172" s="44"/>
      <c r="X6172" s="44"/>
      <c r="Y6172" s="44"/>
    </row>
    <row r="6173" spans="14:25" ht="15" customHeight="1" x14ac:dyDescent="0.25">
      <c r="N6173" s="44"/>
      <c r="O6173" s="44"/>
      <c r="P6173" s="44"/>
      <c r="Q6173" s="44"/>
      <c r="R6173" s="44"/>
      <c r="S6173" s="44"/>
      <c r="T6173" s="44"/>
      <c r="U6173" s="44"/>
      <c r="V6173" s="44"/>
      <c r="W6173" s="44"/>
      <c r="X6173" s="44"/>
      <c r="Y6173" s="44"/>
    </row>
    <row r="6174" spans="14:25" ht="15" customHeight="1" x14ac:dyDescent="0.25">
      <c r="N6174" s="44"/>
      <c r="O6174" s="44"/>
      <c r="P6174" s="44"/>
      <c r="Q6174" s="44"/>
      <c r="R6174" s="44"/>
      <c r="S6174" s="44"/>
      <c r="T6174" s="44"/>
      <c r="U6174" s="44"/>
      <c r="V6174" s="44"/>
      <c r="W6174" s="44"/>
      <c r="X6174" s="44"/>
      <c r="Y6174" s="44"/>
    </row>
    <row r="6175" spans="14:25" ht="15" customHeight="1" x14ac:dyDescent="0.25">
      <c r="N6175" s="44"/>
      <c r="O6175" s="44"/>
      <c r="P6175" s="44"/>
      <c r="Q6175" s="44"/>
      <c r="R6175" s="44"/>
      <c r="S6175" s="44"/>
      <c r="T6175" s="44"/>
      <c r="U6175" s="44"/>
      <c r="V6175" s="44"/>
      <c r="W6175" s="44"/>
      <c r="X6175" s="44"/>
      <c r="Y6175" s="44"/>
    </row>
    <row r="6176" spans="14:25" ht="15" customHeight="1" x14ac:dyDescent="0.25">
      <c r="N6176" s="44"/>
      <c r="O6176" s="44"/>
      <c r="P6176" s="44"/>
      <c r="Q6176" s="44"/>
      <c r="R6176" s="44"/>
      <c r="S6176" s="44"/>
      <c r="T6176" s="44"/>
      <c r="U6176" s="44"/>
      <c r="V6176" s="44"/>
      <c r="W6176" s="44"/>
      <c r="X6176" s="44"/>
      <c r="Y6176" s="44"/>
    </row>
    <row r="6177" spans="14:25" ht="15" customHeight="1" x14ac:dyDescent="0.25">
      <c r="N6177" s="44"/>
      <c r="O6177" s="44"/>
      <c r="P6177" s="44"/>
      <c r="Q6177" s="44"/>
      <c r="R6177" s="44"/>
      <c r="S6177" s="44"/>
      <c r="T6177" s="44"/>
      <c r="U6177" s="44"/>
      <c r="V6177" s="44"/>
      <c r="W6177" s="44"/>
      <c r="X6177" s="44"/>
      <c r="Y6177" s="44"/>
    </row>
    <row r="6178" spans="14:25" ht="15" customHeight="1" x14ac:dyDescent="0.25">
      <c r="N6178" s="44"/>
      <c r="O6178" s="44"/>
      <c r="P6178" s="44"/>
      <c r="Q6178" s="44"/>
      <c r="R6178" s="44"/>
      <c r="S6178" s="44"/>
      <c r="T6178" s="44"/>
      <c r="U6178" s="44"/>
      <c r="V6178" s="44"/>
      <c r="W6178" s="44"/>
      <c r="X6178" s="44"/>
      <c r="Y6178" s="44"/>
    </row>
    <row r="6179" spans="14:25" ht="15" customHeight="1" x14ac:dyDescent="0.25">
      <c r="N6179" s="44"/>
      <c r="O6179" s="44"/>
      <c r="P6179" s="44"/>
      <c r="Q6179" s="44"/>
      <c r="R6179" s="44"/>
      <c r="S6179" s="44"/>
      <c r="T6179" s="44"/>
      <c r="U6179" s="44"/>
      <c r="V6179" s="44"/>
      <c r="W6179" s="44"/>
      <c r="X6179" s="44"/>
      <c r="Y6179" s="44"/>
    </row>
    <row r="6180" spans="14:25" ht="15" customHeight="1" x14ac:dyDescent="0.25">
      <c r="N6180" s="44"/>
      <c r="O6180" s="44"/>
      <c r="P6180" s="44"/>
      <c r="Q6180" s="44"/>
      <c r="R6180" s="44"/>
      <c r="S6180" s="44"/>
      <c r="T6180" s="44"/>
      <c r="U6180" s="44"/>
      <c r="V6180" s="44"/>
      <c r="W6180" s="44"/>
      <c r="X6180" s="44"/>
      <c r="Y6180" s="44"/>
    </row>
    <row r="6181" spans="14:25" ht="15" customHeight="1" x14ac:dyDescent="0.25">
      <c r="N6181" s="44"/>
      <c r="O6181" s="44"/>
      <c r="P6181" s="44"/>
      <c r="Q6181" s="44"/>
      <c r="R6181" s="44"/>
      <c r="S6181" s="44"/>
      <c r="T6181" s="44"/>
      <c r="U6181" s="44"/>
      <c r="V6181" s="44"/>
      <c r="W6181" s="44"/>
      <c r="X6181" s="44"/>
      <c r="Y6181" s="44"/>
    </row>
    <row r="6182" spans="14:25" ht="15" customHeight="1" x14ac:dyDescent="0.25">
      <c r="N6182" s="44"/>
      <c r="O6182" s="44"/>
      <c r="P6182" s="44"/>
      <c r="Q6182" s="44"/>
      <c r="R6182" s="44"/>
      <c r="S6182" s="44"/>
      <c r="T6182" s="44"/>
      <c r="U6182" s="44"/>
      <c r="V6182" s="44"/>
      <c r="W6182" s="44"/>
      <c r="X6182" s="44"/>
      <c r="Y6182" s="44"/>
    </row>
    <row r="6183" spans="14:25" ht="15" customHeight="1" x14ac:dyDescent="0.25">
      <c r="N6183" s="44"/>
      <c r="O6183" s="44"/>
      <c r="P6183" s="44"/>
      <c r="Q6183" s="44"/>
      <c r="R6183" s="44"/>
      <c r="S6183" s="44"/>
      <c r="T6183" s="44"/>
      <c r="U6183" s="44"/>
      <c r="V6183" s="44"/>
      <c r="W6183" s="44"/>
      <c r="X6183" s="44"/>
      <c r="Y6183" s="44"/>
    </row>
    <row r="6184" spans="14:25" ht="15" customHeight="1" x14ac:dyDescent="0.25">
      <c r="N6184" s="44"/>
      <c r="O6184" s="44"/>
      <c r="P6184" s="44"/>
      <c r="Q6184" s="44"/>
      <c r="R6184" s="44"/>
      <c r="S6184" s="44"/>
      <c r="T6184" s="44"/>
      <c r="U6184" s="44"/>
      <c r="V6184" s="44"/>
      <c r="W6184" s="44"/>
      <c r="X6184" s="44"/>
      <c r="Y6184" s="44"/>
    </row>
    <row r="6185" spans="14:25" ht="15" customHeight="1" x14ac:dyDescent="0.25">
      <c r="N6185" s="44"/>
      <c r="O6185" s="44"/>
      <c r="P6185" s="44"/>
      <c r="Q6185" s="44"/>
      <c r="R6185" s="44"/>
      <c r="S6185" s="44"/>
      <c r="T6185" s="44"/>
      <c r="U6185" s="44"/>
      <c r="V6185" s="44"/>
      <c r="W6185" s="44"/>
      <c r="X6185" s="44"/>
      <c r="Y6185" s="44"/>
    </row>
    <row r="6186" spans="14:25" ht="15" customHeight="1" x14ac:dyDescent="0.25">
      <c r="N6186" s="44"/>
      <c r="O6186" s="44"/>
      <c r="P6186" s="44"/>
      <c r="Q6186" s="44"/>
      <c r="R6186" s="44"/>
      <c r="S6186" s="44"/>
      <c r="T6186" s="44"/>
      <c r="U6186" s="44"/>
      <c r="V6186" s="44"/>
      <c r="W6186" s="44"/>
      <c r="X6186" s="44"/>
      <c r="Y6186" s="44"/>
    </row>
    <row r="6187" spans="14:25" ht="15" customHeight="1" x14ac:dyDescent="0.25">
      <c r="N6187" s="44"/>
      <c r="O6187" s="44"/>
      <c r="P6187" s="44"/>
      <c r="Q6187" s="44"/>
      <c r="R6187" s="44"/>
      <c r="S6187" s="44"/>
      <c r="T6187" s="44"/>
      <c r="U6187" s="44"/>
      <c r="V6187" s="44"/>
      <c r="W6187" s="44"/>
      <c r="X6187" s="44"/>
      <c r="Y6187" s="44"/>
    </row>
    <row r="6188" spans="14:25" ht="15" customHeight="1" x14ac:dyDescent="0.25">
      <c r="N6188" s="44"/>
      <c r="O6188" s="44"/>
      <c r="P6188" s="44"/>
      <c r="Q6188" s="44"/>
      <c r="R6188" s="44"/>
      <c r="S6188" s="44"/>
      <c r="T6188" s="44"/>
      <c r="U6188" s="44"/>
      <c r="V6188" s="44"/>
      <c r="W6188" s="44"/>
      <c r="X6188" s="44"/>
      <c r="Y6188" s="44"/>
    </row>
    <row r="6189" spans="14:25" ht="15" customHeight="1" x14ac:dyDescent="0.25">
      <c r="N6189" s="44"/>
      <c r="O6189" s="44"/>
      <c r="P6189" s="44"/>
      <c r="Q6189" s="44"/>
      <c r="R6189" s="44"/>
      <c r="S6189" s="44"/>
      <c r="T6189" s="44"/>
      <c r="U6189" s="44"/>
      <c r="V6189" s="44"/>
      <c r="W6189" s="44"/>
      <c r="X6189" s="44"/>
      <c r="Y6189" s="44"/>
    </row>
    <row r="6190" spans="14:25" ht="15" customHeight="1" x14ac:dyDescent="0.25">
      <c r="N6190" s="44"/>
      <c r="O6190" s="44"/>
      <c r="P6190" s="44"/>
      <c r="Q6190" s="44"/>
      <c r="R6190" s="44"/>
      <c r="S6190" s="44"/>
      <c r="T6190" s="44"/>
      <c r="U6190" s="44"/>
      <c r="V6190" s="44"/>
      <c r="W6190" s="44"/>
      <c r="X6190" s="44"/>
      <c r="Y6190" s="44"/>
    </row>
    <row r="6191" spans="14:25" ht="15" customHeight="1" x14ac:dyDescent="0.25">
      <c r="N6191" s="44"/>
      <c r="O6191" s="44"/>
      <c r="P6191" s="44"/>
      <c r="Q6191" s="44"/>
      <c r="R6191" s="44"/>
      <c r="S6191" s="44"/>
      <c r="T6191" s="44"/>
      <c r="U6191" s="44"/>
      <c r="V6191" s="44"/>
      <c r="W6191" s="44"/>
      <c r="X6191" s="44"/>
      <c r="Y6191" s="44"/>
    </row>
    <row r="6192" spans="14:25" ht="15" customHeight="1" x14ac:dyDescent="0.25">
      <c r="N6192" s="44"/>
      <c r="O6192" s="44"/>
      <c r="P6192" s="44"/>
      <c r="Q6192" s="44"/>
      <c r="R6192" s="44"/>
      <c r="S6192" s="44"/>
      <c r="T6192" s="44"/>
      <c r="U6192" s="44"/>
      <c r="V6192" s="44"/>
      <c r="W6192" s="44"/>
      <c r="X6192" s="44"/>
      <c r="Y6192" s="44"/>
    </row>
    <row r="6193" spans="14:25" ht="15" customHeight="1" x14ac:dyDescent="0.25">
      <c r="N6193" s="44"/>
      <c r="O6193" s="44"/>
      <c r="P6193" s="44"/>
      <c r="Q6193" s="44"/>
      <c r="R6193" s="44"/>
      <c r="S6193" s="44"/>
      <c r="T6193" s="44"/>
      <c r="U6193" s="44"/>
      <c r="V6193" s="44"/>
      <c r="W6193" s="44"/>
      <c r="X6193" s="44"/>
      <c r="Y6193" s="44"/>
    </row>
    <row r="6194" spans="14:25" ht="15" customHeight="1" x14ac:dyDescent="0.25">
      <c r="N6194" s="44"/>
      <c r="O6194" s="44"/>
      <c r="P6194" s="44"/>
      <c r="Q6194" s="44"/>
      <c r="R6194" s="44"/>
      <c r="S6194" s="44"/>
      <c r="T6194" s="44"/>
      <c r="U6194" s="44"/>
      <c r="V6194" s="44"/>
      <c r="W6194" s="44"/>
      <c r="X6194" s="44"/>
      <c r="Y6194" s="44"/>
    </row>
    <row r="6195" spans="14:25" ht="15" customHeight="1" x14ac:dyDescent="0.25">
      <c r="N6195" s="44"/>
      <c r="O6195" s="44"/>
      <c r="P6195" s="44"/>
      <c r="Q6195" s="44"/>
      <c r="R6195" s="44"/>
      <c r="S6195" s="44"/>
      <c r="T6195" s="44"/>
      <c r="U6195" s="44"/>
      <c r="V6195" s="44"/>
      <c r="W6195" s="44"/>
      <c r="X6195" s="44"/>
      <c r="Y6195" s="44"/>
    </row>
    <row r="6196" spans="14:25" ht="15" customHeight="1" x14ac:dyDescent="0.25">
      <c r="N6196" s="44"/>
      <c r="O6196" s="44"/>
      <c r="P6196" s="44"/>
      <c r="Q6196" s="44"/>
      <c r="R6196" s="44"/>
      <c r="S6196" s="44"/>
      <c r="T6196" s="44"/>
      <c r="U6196" s="44"/>
      <c r="V6196" s="44"/>
      <c r="W6196" s="44"/>
      <c r="X6196" s="44"/>
      <c r="Y6196" s="44"/>
    </row>
    <row r="6197" spans="14:25" ht="15" customHeight="1" x14ac:dyDescent="0.25">
      <c r="N6197" s="44"/>
      <c r="O6197" s="44"/>
      <c r="P6197" s="44"/>
      <c r="Q6197" s="44"/>
      <c r="R6197" s="44"/>
      <c r="S6197" s="44"/>
      <c r="T6197" s="44"/>
      <c r="U6197" s="44"/>
      <c r="V6197" s="44"/>
      <c r="W6197" s="44"/>
      <c r="X6197" s="44"/>
      <c r="Y6197" s="44"/>
    </row>
    <row r="6198" spans="14:25" ht="15" customHeight="1" x14ac:dyDescent="0.25">
      <c r="N6198" s="44"/>
      <c r="O6198" s="44"/>
      <c r="P6198" s="44"/>
      <c r="Q6198" s="44"/>
      <c r="R6198" s="44"/>
      <c r="S6198" s="44"/>
      <c r="T6198" s="44"/>
      <c r="U6198" s="44"/>
      <c r="V6198" s="44"/>
      <c r="W6198" s="44"/>
      <c r="X6198" s="44"/>
      <c r="Y6198" s="44"/>
    </row>
    <row r="6199" spans="14:25" ht="15" customHeight="1" x14ac:dyDescent="0.25">
      <c r="N6199" s="44"/>
      <c r="O6199" s="44"/>
      <c r="P6199" s="44"/>
      <c r="Q6199" s="44"/>
      <c r="R6199" s="44"/>
      <c r="S6199" s="44"/>
      <c r="T6199" s="44"/>
      <c r="U6199" s="44"/>
      <c r="V6199" s="44"/>
      <c r="W6199" s="44"/>
      <c r="X6199" s="44"/>
      <c r="Y6199" s="44"/>
    </row>
    <row r="6200" spans="14:25" ht="15" customHeight="1" x14ac:dyDescent="0.25">
      <c r="N6200" s="44"/>
      <c r="O6200" s="44"/>
      <c r="P6200" s="44"/>
      <c r="Q6200" s="44"/>
      <c r="R6200" s="44"/>
      <c r="S6200" s="44"/>
      <c r="T6200" s="44"/>
      <c r="U6200" s="44"/>
      <c r="V6200" s="44"/>
      <c r="W6200" s="44"/>
      <c r="X6200" s="44"/>
      <c r="Y6200" s="44"/>
    </row>
    <row r="6201" spans="14:25" ht="15" customHeight="1" x14ac:dyDescent="0.25">
      <c r="N6201" s="44"/>
      <c r="O6201" s="44"/>
      <c r="P6201" s="44"/>
      <c r="Q6201" s="44"/>
      <c r="R6201" s="44"/>
      <c r="S6201" s="44"/>
      <c r="T6201" s="44"/>
      <c r="U6201" s="44"/>
      <c r="V6201" s="44"/>
      <c r="W6201" s="44"/>
      <c r="X6201" s="44"/>
      <c r="Y6201" s="44"/>
    </row>
    <row r="6202" spans="14:25" ht="15" customHeight="1" x14ac:dyDescent="0.25">
      <c r="N6202" s="44"/>
      <c r="O6202" s="44"/>
      <c r="P6202" s="44"/>
      <c r="Q6202" s="44"/>
      <c r="R6202" s="44"/>
      <c r="S6202" s="44"/>
      <c r="T6202" s="44"/>
      <c r="U6202" s="44"/>
      <c r="V6202" s="44"/>
      <c r="W6202" s="44"/>
      <c r="X6202" s="44"/>
      <c r="Y6202" s="44"/>
    </row>
    <row r="6203" spans="14:25" ht="15" customHeight="1" x14ac:dyDescent="0.25">
      <c r="N6203" s="44"/>
      <c r="O6203" s="44"/>
      <c r="P6203" s="44"/>
      <c r="Q6203" s="44"/>
      <c r="R6203" s="44"/>
      <c r="S6203" s="44"/>
      <c r="T6203" s="44"/>
      <c r="U6203" s="44"/>
      <c r="V6203" s="44"/>
      <c r="W6203" s="44"/>
      <c r="X6203" s="44"/>
      <c r="Y6203" s="44"/>
    </row>
    <row r="6204" spans="14:25" ht="15" customHeight="1" x14ac:dyDescent="0.25">
      <c r="N6204" s="44"/>
      <c r="O6204" s="44"/>
      <c r="P6204" s="44"/>
      <c r="Q6204" s="44"/>
      <c r="R6204" s="44"/>
      <c r="S6204" s="44"/>
      <c r="T6204" s="44"/>
      <c r="U6204" s="44"/>
      <c r="V6204" s="44"/>
      <c r="W6204" s="44"/>
      <c r="X6204" s="44"/>
      <c r="Y6204" s="44"/>
    </row>
    <row r="6205" spans="14:25" ht="15" customHeight="1" x14ac:dyDescent="0.25">
      <c r="N6205" s="44"/>
      <c r="O6205" s="44"/>
      <c r="P6205" s="44"/>
      <c r="Q6205" s="44"/>
      <c r="R6205" s="44"/>
      <c r="S6205" s="44"/>
      <c r="T6205" s="44"/>
      <c r="U6205" s="44"/>
      <c r="V6205" s="44"/>
      <c r="W6205" s="44"/>
      <c r="X6205" s="44"/>
      <c r="Y6205" s="44"/>
    </row>
    <row r="6206" spans="14:25" ht="15" customHeight="1" x14ac:dyDescent="0.25">
      <c r="N6206" s="44"/>
      <c r="O6206" s="44"/>
      <c r="P6206" s="44"/>
      <c r="Q6206" s="44"/>
      <c r="R6206" s="44"/>
      <c r="S6206" s="44"/>
      <c r="T6206" s="44"/>
      <c r="U6206" s="44"/>
      <c r="V6206" s="44"/>
      <c r="W6206" s="44"/>
      <c r="X6206" s="44"/>
      <c r="Y6206" s="44"/>
    </row>
    <row r="6207" spans="14:25" ht="15" customHeight="1" x14ac:dyDescent="0.25">
      <c r="N6207" s="44"/>
      <c r="O6207" s="44"/>
      <c r="P6207" s="44"/>
      <c r="Q6207" s="44"/>
      <c r="R6207" s="44"/>
      <c r="S6207" s="44"/>
      <c r="T6207" s="44"/>
      <c r="U6207" s="44"/>
      <c r="V6207" s="44"/>
      <c r="W6207" s="44"/>
      <c r="X6207" s="44"/>
      <c r="Y6207" s="44"/>
    </row>
    <row r="6208" spans="14:25" ht="15" customHeight="1" x14ac:dyDescent="0.25">
      <c r="N6208" s="44"/>
      <c r="O6208" s="44"/>
      <c r="P6208" s="44"/>
      <c r="Q6208" s="44"/>
      <c r="R6208" s="44"/>
      <c r="S6208" s="44"/>
      <c r="T6208" s="44"/>
      <c r="U6208" s="44"/>
      <c r="V6208" s="44"/>
      <c r="W6208" s="44"/>
      <c r="X6208" s="44"/>
      <c r="Y6208" s="44"/>
    </row>
    <row r="6209" spans="14:25" ht="15" customHeight="1" x14ac:dyDescent="0.25">
      <c r="N6209" s="44"/>
      <c r="O6209" s="44"/>
      <c r="P6209" s="44"/>
      <c r="Q6209" s="44"/>
      <c r="R6209" s="44"/>
      <c r="S6209" s="44"/>
      <c r="T6209" s="44"/>
      <c r="U6209" s="44"/>
      <c r="V6209" s="44"/>
      <c r="W6209" s="44"/>
      <c r="X6209" s="44"/>
      <c r="Y6209" s="44"/>
    </row>
    <row r="6210" spans="14:25" ht="15" customHeight="1" x14ac:dyDescent="0.25">
      <c r="N6210" s="44"/>
      <c r="O6210" s="44"/>
      <c r="P6210" s="44"/>
      <c r="Q6210" s="44"/>
      <c r="R6210" s="44"/>
      <c r="S6210" s="44"/>
      <c r="T6210" s="44"/>
      <c r="U6210" s="44"/>
      <c r="V6210" s="44"/>
      <c r="W6210" s="44"/>
      <c r="X6210" s="44"/>
      <c r="Y6210" s="44"/>
    </row>
    <row r="6211" spans="14:25" ht="15" customHeight="1" x14ac:dyDescent="0.25">
      <c r="N6211" s="44"/>
      <c r="O6211" s="44"/>
      <c r="P6211" s="44"/>
      <c r="Q6211" s="44"/>
      <c r="R6211" s="44"/>
      <c r="S6211" s="44"/>
      <c r="T6211" s="44"/>
      <c r="U6211" s="44"/>
      <c r="V6211" s="44"/>
      <c r="W6211" s="44"/>
      <c r="X6211" s="44"/>
      <c r="Y6211" s="44"/>
    </row>
    <row r="6212" spans="14:25" ht="15" customHeight="1" x14ac:dyDescent="0.25">
      <c r="N6212" s="44"/>
      <c r="O6212" s="44"/>
      <c r="P6212" s="44"/>
      <c r="Q6212" s="44"/>
      <c r="R6212" s="44"/>
      <c r="S6212" s="44"/>
      <c r="T6212" s="44"/>
      <c r="U6212" s="44"/>
      <c r="V6212" s="44"/>
      <c r="W6212" s="44"/>
      <c r="X6212" s="44"/>
      <c r="Y6212" s="44"/>
    </row>
    <row r="6213" spans="14:25" ht="15" customHeight="1" x14ac:dyDescent="0.25">
      <c r="N6213" s="44"/>
      <c r="O6213" s="44"/>
      <c r="P6213" s="44"/>
      <c r="Q6213" s="44"/>
      <c r="R6213" s="44"/>
      <c r="S6213" s="44"/>
      <c r="T6213" s="44"/>
      <c r="U6213" s="44"/>
      <c r="V6213" s="44"/>
      <c r="W6213" s="44"/>
      <c r="X6213" s="44"/>
      <c r="Y6213" s="44"/>
    </row>
    <row r="6214" spans="14:25" ht="15" customHeight="1" x14ac:dyDescent="0.25">
      <c r="N6214" s="44"/>
      <c r="O6214" s="44"/>
      <c r="P6214" s="44"/>
      <c r="Q6214" s="44"/>
      <c r="R6214" s="44"/>
      <c r="S6214" s="44"/>
      <c r="T6214" s="44"/>
      <c r="U6214" s="44"/>
      <c r="V6214" s="44"/>
      <c r="W6214" s="44"/>
      <c r="X6214" s="44"/>
      <c r="Y6214" s="44"/>
    </row>
    <row r="6215" spans="14:25" ht="15" customHeight="1" x14ac:dyDescent="0.25">
      <c r="N6215" s="44"/>
      <c r="O6215" s="44"/>
      <c r="P6215" s="44"/>
      <c r="Q6215" s="44"/>
      <c r="R6215" s="44"/>
      <c r="S6215" s="44"/>
      <c r="T6215" s="44"/>
      <c r="U6215" s="44"/>
      <c r="V6215" s="44"/>
      <c r="W6215" s="44"/>
      <c r="X6215" s="44"/>
      <c r="Y6215" s="44"/>
    </row>
    <row r="6216" spans="14:25" ht="15" customHeight="1" x14ac:dyDescent="0.25">
      <c r="N6216" s="44"/>
      <c r="O6216" s="44"/>
      <c r="P6216" s="44"/>
      <c r="Q6216" s="44"/>
      <c r="R6216" s="44"/>
      <c r="S6216" s="44"/>
      <c r="T6216" s="44"/>
      <c r="U6216" s="44"/>
      <c r="V6216" s="44"/>
      <c r="W6216" s="44"/>
      <c r="X6216" s="44"/>
      <c r="Y6216" s="44"/>
    </row>
    <row r="6217" spans="14:25" ht="15" customHeight="1" x14ac:dyDescent="0.25">
      <c r="N6217" s="44"/>
      <c r="O6217" s="44"/>
      <c r="P6217" s="44"/>
      <c r="Q6217" s="44"/>
      <c r="R6217" s="44"/>
      <c r="S6217" s="44"/>
      <c r="T6217" s="44"/>
      <c r="U6217" s="44"/>
      <c r="V6217" s="44"/>
      <c r="W6217" s="44"/>
      <c r="X6217" s="44"/>
      <c r="Y6217" s="44"/>
    </row>
    <row r="6218" spans="14:25" ht="15" customHeight="1" x14ac:dyDescent="0.25">
      <c r="N6218" s="44"/>
      <c r="O6218" s="44"/>
      <c r="P6218" s="44"/>
      <c r="Q6218" s="44"/>
      <c r="R6218" s="44"/>
      <c r="S6218" s="44"/>
      <c r="T6218" s="44"/>
      <c r="U6218" s="44"/>
      <c r="V6218" s="44"/>
      <c r="W6218" s="44"/>
      <c r="X6218" s="44"/>
      <c r="Y6218" s="44"/>
    </row>
    <row r="6219" spans="14:25" ht="15" customHeight="1" x14ac:dyDescent="0.25">
      <c r="N6219" s="44"/>
      <c r="O6219" s="44"/>
      <c r="P6219" s="44"/>
      <c r="Q6219" s="44"/>
      <c r="R6219" s="44"/>
      <c r="S6219" s="44"/>
      <c r="T6219" s="44"/>
      <c r="U6219" s="44"/>
      <c r="V6219" s="44"/>
      <c r="W6219" s="44"/>
      <c r="X6219" s="44"/>
      <c r="Y6219" s="44"/>
    </row>
    <row r="6220" spans="14:25" ht="15" customHeight="1" x14ac:dyDescent="0.25">
      <c r="N6220" s="44"/>
      <c r="O6220" s="44"/>
      <c r="P6220" s="44"/>
      <c r="Q6220" s="44"/>
      <c r="R6220" s="44"/>
      <c r="S6220" s="44"/>
      <c r="T6220" s="44"/>
      <c r="U6220" s="44"/>
      <c r="V6220" s="44"/>
      <c r="W6220" s="44"/>
      <c r="X6220" s="44"/>
      <c r="Y6220" s="44"/>
    </row>
    <row r="6221" spans="14:25" ht="15" customHeight="1" x14ac:dyDescent="0.25">
      <c r="N6221" s="44"/>
      <c r="O6221" s="44"/>
      <c r="P6221" s="44"/>
      <c r="Q6221" s="44"/>
      <c r="R6221" s="44"/>
      <c r="S6221" s="44"/>
      <c r="T6221" s="44"/>
      <c r="U6221" s="44"/>
      <c r="V6221" s="44"/>
      <c r="W6221" s="44"/>
      <c r="X6221" s="44"/>
      <c r="Y6221" s="44"/>
    </row>
    <row r="6222" spans="14:25" ht="15" customHeight="1" x14ac:dyDescent="0.25">
      <c r="N6222" s="44"/>
      <c r="O6222" s="44"/>
      <c r="P6222" s="44"/>
      <c r="Q6222" s="44"/>
      <c r="R6222" s="44"/>
      <c r="S6222" s="44"/>
      <c r="T6222" s="44"/>
      <c r="U6222" s="44"/>
      <c r="V6222" s="44"/>
      <c r="W6222" s="44"/>
      <c r="X6222" s="44"/>
      <c r="Y6222" s="44"/>
    </row>
    <row r="6223" spans="14:25" ht="15" customHeight="1" x14ac:dyDescent="0.25">
      <c r="N6223" s="44"/>
      <c r="O6223" s="44"/>
      <c r="P6223" s="44"/>
      <c r="Q6223" s="44"/>
      <c r="R6223" s="44"/>
      <c r="S6223" s="44"/>
      <c r="T6223" s="44"/>
      <c r="U6223" s="44"/>
      <c r="V6223" s="44"/>
      <c r="W6223" s="44"/>
      <c r="X6223" s="44"/>
      <c r="Y6223" s="44"/>
    </row>
    <row r="6224" spans="14:25" ht="15" customHeight="1" x14ac:dyDescent="0.25">
      <c r="N6224" s="44"/>
      <c r="O6224" s="44"/>
      <c r="P6224" s="44"/>
      <c r="Q6224" s="44"/>
      <c r="R6224" s="44"/>
      <c r="S6224" s="44"/>
      <c r="T6224" s="44"/>
      <c r="U6224" s="44"/>
      <c r="V6224" s="44"/>
      <c r="W6224" s="44"/>
      <c r="X6224" s="44"/>
      <c r="Y6224" s="44"/>
    </row>
    <row r="6225" spans="14:25" ht="15" customHeight="1" x14ac:dyDescent="0.25">
      <c r="N6225" s="44"/>
      <c r="O6225" s="44"/>
      <c r="P6225" s="44"/>
      <c r="Q6225" s="44"/>
      <c r="R6225" s="44"/>
      <c r="S6225" s="44"/>
      <c r="T6225" s="44"/>
      <c r="U6225" s="44"/>
      <c r="V6225" s="44"/>
      <c r="W6225" s="44"/>
      <c r="X6225" s="44"/>
      <c r="Y6225" s="44"/>
    </row>
    <row r="6226" spans="14:25" ht="15" customHeight="1" x14ac:dyDescent="0.25">
      <c r="N6226" s="44"/>
      <c r="O6226" s="44"/>
      <c r="P6226" s="44"/>
      <c r="Q6226" s="44"/>
      <c r="R6226" s="44"/>
      <c r="S6226" s="44"/>
      <c r="T6226" s="44"/>
      <c r="U6226" s="44"/>
      <c r="V6226" s="44"/>
      <c r="W6226" s="44"/>
      <c r="X6226" s="44"/>
      <c r="Y6226" s="44"/>
    </row>
    <row r="6227" spans="14:25" ht="15" customHeight="1" x14ac:dyDescent="0.25">
      <c r="N6227" s="44"/>
      <c r="O6227" s="44"/>
      <c r="P6227" s="44"/>
      <c r="Q6227" s="44"/>
      <c r="R6227" s="44"/>
      <c r="S6227" s="44"/>
      <c r="T6227" s="44"/>
      <c r="U6227" s="44"/>
      <c r="V6227" s="44"/>
      <c r="W6227" s="44"/>
      <c r="X6227" s="44"/>
      <c r="Y6227" s="44"/>
    </row>
    <row r="6228" spans="14:25" ht="15" customHeight="1" x14ac:dyDescent="0.25">
      <c r="N6228" s="44"/>
      <c r="O6228" s="44"/>
      <c r="P6228" s="44"/>
      <c r="Q6228" s="44"/>
      <c r="R6228" s="44"/>
      <c r="S6228" s="44"/>
      <c r="T6228" s="44"/>
      <c r="U6228" s="44"/>
      <c r="V6228" s="44"/>
      <c r="W6228" s="44"/>
      <c r="X6228" s="44"/>
      <c r="Y6228" s="44"/>
    </row>
    <row r="6229" spans="14:25" ht="15" customHeight="1" x14ac:dyDescent="0.25">
      <c r="N6229" s="44"/>
      <c r="O6229" s="44"/>
      <c r="P6229" s="44"/>
      <c r="Q6229" s="44"/>
      <c r="R6229" s="44"/>
      <c r="S6229" s="44"/>
      <c r="T6229" s="44"/>
      <c r="U6229" s="44"/>
      <c r="V6229" s="44"/>
      <c r="W6229" s="44"/>
      <c r="X6229" s="44"/>
      <c r="Y6229" s="44"/>
    </row>
    <row r="6230" spans="14:25" ht="15" customHeight="1" x14ac:dyDescent="0.25">
      <c r="N6230" s="44"/>
      <c r="O6230" s="44"/>
      <c r="P6230" s="44"/>
      <c r="Q6230" s="44"/>
      <c r="R6230" s="44"/>
      <c r="S6230" s="44"/>
      <c r="T6230" s="44"/>
      <c r="U6230" s="44"/>
      <c r="V6230" s="44"/>
      <c r="W6230" s="44"/>
      <c r="X6230" s="44"/>
      <c r="Y6230" s="44"/>
    </row>
    <row r="6231" spans="14:25" ht="15" customHeight="1" x14ac:dyDescent="0.25">
      <c r="N6231" s="44"/>
      <c r="O6231" s="44"/>
      <c r="P6231" s="44"/>
      <c r="Q6231" s="44"/>
      <c r="R6231" s="44"/>
      <c r="S6231" s="44"/>
      <c r="T6231" s="44"/>
      <c r="U6231" s="44"/>
      <c r="V6231" s="44"/>
      <c r="W6231" s="44"/>
      <c r="X6231" s="44"/>
      <c r="Y6231" s="44"/>
    </row>
    <row r="6232" spans="14:25" ht="15" customHeight="1" x14ac:dyDescent="0.25">
      <c r="N6232" s="44"/>
      <c r="O6232" s="44"/>
      <c r="P6232" s="44"/>
      <c r="Q6232" s="44"/>
      <c r="R6232" s="44"/>
      <c r="S6232" s="44"/>
      <c r="T6232" s="44"/>
      <c r="U6232" s="44"/>
      <c r="V6232" s="44"/>
      <c r="W6232" s="44"/>
      <c r="X6232" s="44"/>
      <c r="Y6232" s="44"/>
    </row>
    <row r="6233" spans="14:25" ht="15" customHeight="1" x14ac:dyDescent="0.25">
      <c r="N6233" s="44"/>
      <c r="O6233" s="44"/>
      <c r="P6233" s="44"/>
      <c r="Q6233" s="44"/>
      <c r="R6233" s="44"/>
      <c r="S6233" s="44"/>
      <c r="T6233" s="44"/>
      <c r="U6233" s="44"/>
      <c r="V6233" s="44"/>
      <c r="W6233" s="44"/>
      <c r="X6233" s="44"/>
      <c r="Y6233" s="44"/>
    </row>
    <row r="6234" spans="14:25" ht="15" customHeight="1" x14ac:dyDescent="0.25">
      <c r="N6234" s="44"/>
      <c r="O6234" s="44"/>
      <c r="P6234" s="44"/>
      <c r="Q6234" s="44"/>
      <c r="R6234" s="44"/>
      <c r="S6234" s="44"/>
      <c r="T6234" s="44"/>
      <c r="U6234" s="44"/>
      <c r="V6234" s="44"/>
      <c r="W6234" s="44"/>
      <c r="X6234" s="44"/>
      <c r="Y6234" s="44"/>
    </row>
    <row r="6235" spans="14:25" ht="15" customHeight="1" x14ac:dyDescent="0.25">
      <c r="N6235" s="44"/>
      <c r="O6235" s="44"/>
      <c r="P6235" s="44"/>
      <c r="Q6235" s="44"/>
      <c r="R6235" s="44"/>
      <c r="S6235" s="44"/>
      <c r="T6235" s="44"/>
      <c r="U6235" s="44"/>
      <c r="V6235" s="44"/>
      <c r="W6235" s="44"/>
      <c r="X6235" s="44"/>
      <c r="Y6235" s="44"/>
    </row>
    <row r="6236" spans="14:25" ht="15" customHeight="1" x14ac:dyDescent="0.25">
      <c r="N6236" s="44"/>
      <c r="O6236" s="44"/>
      <c r="P6236" s="44"/>
      <c r="Q6236" s="44"/>
      <c r="R6236" s="44"/>
      <c r="S6236" s="44"/>
      <c r="T6236" s="44"/>
      <c r="U6236" s="44"/>
      <c r="V6236" s="44"/>
      <c r="W6236" s="44"/>
      <c r="X6236" s="44"/>
      <c r="Y6236" s="44"/>
    </row>
    <row r="6237" spans="14:25" ht="15" customHeight="1" x14ac:dyDescent="0.25">
      <c r="N6237" s="44"/>
      <c r="O6237" s="44"/>
      <c r="P6237" s="44"/>
      <c r="Q6237" s="44"/>
      <c r="R6237" s="44"/>
      <c r="S6237" s="44"/>
      <c r="T6237" s="44"/>
      <c r="U6237" s="44"/>
      <c r="V6237" s="44"/>
      <c r="W6237" s="44"/>
      <c r="X6237" s="44"/>
      <c r="Y6237" s="44"/>
    </row>
    <row r="6238" spans="14:25" ht="15" customHeight="1" x14ac:dyDescent="0.25">
      <c r="N6238" s="44"/>
      <c r="O6238" s="44"/>
      <c r="P6238" s="44"/>
      <c r="Q6238" s="44"/>
      <c r="R6238" s="44"/>
      <c r="S6238" s="44"/>
      <c r="T6238" s="44"/>
      <c r="U6238" s="44"/>
      <c r="V6238" s="44"/>
      <c r="W6238" s="44"/>
      <c r="X6238" s="44"/>
      <c r="Y6238" s="44"/>
    </row>
    <row r="6239" spans="14:25" ht="15" customHeight="1" x14ac:dyDescent="0.25">
      <c r="N6239" s="44"/>
      <c r="O6239" s="44"/>
      <c r="P6239" s="44"/>
      <c r="Q6239" s="44"/>
      <c r="R6239" s="44"/>
      <c r="S6239" s="44"/>
      <c r="T6239" s="44"/>
      <c r="U6239" s="44"/>
      <c r="V6239" s="44"/>
      <c r="W6239" s="44"/>
      <c r="X6239" s="44"/>
      <c r="Y6239" s="44"/>
    </row>
    <row r="6240" spans="14:25" ht="15" customHeight="1" x14ac:dyDescent="0.25">
      <c r="N6240" s="44"/>
      <c r="O6240" s="44"/>
      <c r="P6240" s="44"/>
      <c r="Q6240" s="44"/>
      <c r="R6240" s="44"/>
      <c r="S6240" s="44"/>
      <c r="T6240" s="44"/>
      <c r="U6240" s="44"/>
      <c r="V6240" s="44"/>
      <c r="W6240" s="44"/>
      <c r="X6240" s="44"/>
      <c r="Y6240" s="44"/>
    </row>
    <row r="6241" spans="14:25" ht="15" customHeight="1" x14ac:dyDescent="0.25">
      <c r="N6241" s="44"/>
      <c r="O6241" s="44"/>
      <c r="P6241" s="44"/>
      <c r="Q6241" s="44"/>
      <c r="R6241" s="44"/>
      <c r="S6241" s="44"/>
      <c r="T6241" s="44"/>
      <c r="U6241" s="44"/>
      <c r="V6241" s="44"/>
      <c r="W6241" s="44"/>
      <c r="X6241" s="44"/>
      <c r="Y6241" s="44"/>
    </row>
    <row r="6242" spans="14:25" ht="15" customHeight="1" x14ac:dyDescent="0.25">
      <c r="N6242" s="44"/>
      <c r="O6242" s="44"/>
      <c r="P6242" s="44"/>
      <c r="Q6242" s="44"/>
      <c r="R6242" s="44"/>
      <c r="S6242" s="44"/>
      <c r="T6242" s="44"/>
      <c r="U6242" s="44"/>
      <c r="V6242" s="44"/>
      <c r="W6242" s="44"/>
      <c r="X6242" s="44"/>
      <c r="Y6242" s="44"/>
    </row>
    <row r="6243" spans="14:25" ht="15" customHeight="1" x14ac:dyDescent="0.25">
      <c r="N6243" s="44"/>
      <c r="O6243" s="44"/>
      <c r="P6243" s="44"/>
      <c r="Q6243" s="44"/>
      <c r="R6243" s="44"/>
      <c r="S6243" s="44"/>
      <c r="T6243" s="44"/>
      <c r="U6243" s="44"/>
      <c r="V6243" s="44"/>
      <c r="W6243" s="44"/>
      <c r="X6243" s="44"/>
      <c r="Y6243" s="44"/>
    </row>
    <row r="6244" spans="14:25" ht="15" customHeight="1" x14ac:dyDescent="0.25">
      <c r="N6244" s="44"/>
      <c r="O6244" s="44"/>
      <c r="P6244" s="44"/>
      <c r="Q6244" s="44"/>
      <c r="R6244" s="44"/>
      <c r="S6244" s="44"/>
      <c r="T6244" s="44"/>
      <c r="U6244" s="44"/>
      <c r="V6244" s="44"/>
      <c r="W6244" s="44"/>
      <c r="X6244" s="44"/>
      <c r="Y6244" s="44"/>
    </row>
    <row r="6245" spans="14:25" ht="15" customHeight="1" x14ac:dyDescent="0.25">
      <c r="N6245" s="44"/>
      <c r="O6245" s="44"/>
      <c r="P6245" s="44"/>
      <c r="Q6245" s="44"/>
      <c r="R6245" s="44"/>
      <c r="S6245" s="44"/>
      <c r="T6245" s="44"/>
      <c r="U6245" s="44"/>
      <c r="V6245" s="44"/>
      <c r="W6245" s="44"/>
      <c r="X6245" s="44"/>
      <c r="Y6245" s="44"/>
    </row>
    <row r="6246" spans="14:25" ht="15" customHeight="1" x14ac:dyDescent="0.25">
      <c r="N6246" s="44"/>
      <c r="O6246" s="44"/>
      <c r="P6246" s="44"/>
      <c r="Q6246" s="44"/>
      <c r="R6246" s="44"/>
      <c r="S6246" s="44"/>
      <c r="T6246" s="44"/>
      <c r="U6246" s="44"/>
      <c r="V6246" s="44"/>
      <c r="W6246" s="44"/>
      <c r="X6246" s="44"/>
      <c r="Y6246" s="44"/>
    </row>
    <row r="6247" spans="14:25" ht="15" customHeight="1" x14ac:dyDescent="0.25">
      <c r="N6247" s="44"/>
      <c r="O6247" s="44"/>
      <c r="P6247" s="44"/>
      <c r="Q6247" s="44"/>
      <c r="R6247" s="44"/>
      <c r="S6247" s="44"/>
      <c r="T6247" s="44"/>
      <c r="U6247" s="44"/>
      <c r="V6247" s="44"/>
      <c r="W6247" s="44"/>
      <c r="X6247" s="44"/>
      <c r="Y6247" s="44"/>
    </row>
    <row r="6248" spans="14:25" ht="15" customHeight="1" x14ac:dyDescent="0.25">
      <c r="N6248" s="44"/>
      <c r="O6248" s="44"/>
      <c r="P6248" s="44"/>
      <c r="Q6248" s="44"/>
      <c r="R6248" s="44"/>
      <c r="S6248" s="44"/>
      <c r="T6248" s="44"/>
      <c r="U6248" s="44"/>
      <c r="V6248" s="44"/>
      <c r="W6248" s="44"/>
      <c r="X6248" s="44"/>
      <c r="Y6248" s="44"/>
    </row>
    <row r="6249" spans="14:25" ht="15" customHeight="1" x14ac:dyDescent="0.25">
      <c r="N6249" s="44"/>
      <c r="O6249" s="44"/>
      <c r="P6249" s="44"/>
      <c r="Q6249" s="44"/>
      <c r="R6249" s="44"/>
      <c r="S6249" s="44"/>
      <c r="T6249" s="44"/>
      <c r="U6249" s="44"/>
      <c r="V6249" s="44"/>
      <c r="W6249" s="44"/>
      <c r="X6249" s="44"/>
      <c r="Y6249" s="44"/>
    </row>
    <row r="6250" spans="14:25" ht="15" customHeight="1" x14ac:dyDescent="0.25">
      <c r="N6250" s="44"/>
      <c r="O6250" s="44"/>
      <c r="P6250" s="44"/>
      <c r="Q6250" s="44"/>
      <c r="R6250" s="44"/>
      <c r="S6250" s="44"/>
      <c r="T6250" s="44"/>
      <c r="U6250" s="44"/>
      <c r="V6250" s="44"/>
      <c r="W6250" s="44"/>
      <c r="X6250" s="44"/>
      <c r="Y6250" s="44"/>
    </row>
    <row r="6251" spans="14:25" ht="15" customHeight="1" x14ac:dyDescent="0.25">
      <c r="N6251" s="44"/>
      <c r="O6251" s="44"/>
      <c r="P6251" s="44"/>
      <c r="Q6251" s="44"/>
      <c r="R6251" s="44"/>
      <c r="S6251" s="44"/>
      <c r="T6251" s="44"/>
      <c r="U6251" s="44"/>
      <c r="V6251" s="44"/>
      <c r="W6251" s="44"/>
      <c r="X6251" s="44"/>
      <c r="Y6251" s="44"/>
    </row>
    <row r="6252" spans="14:25" ht="15" customHeight="1" x14ac:dyDescent="0.25">
      <c r="N6252" s="44"/>
      <c r="O6252" s="44"/>
      <c r="P6252" s="44"/>
      <c r="Q6252" s="44"/>
      <c r="R6252" s="44"/>
      <c r="S6252" s="44"/>
      <c r="T6252" s="44"/>
      <c r="U6252" s="44"/>
      <c r="V6252" s="44"/>
      <c r="W6252" s="44"/>
      <c r="X6252" s="44"/>
      <c r="Y6252" s="44"/>
    </row>
    <row r="6253" spans="14:25" ht="15" customHeight="1" x14ac:dyDescent="0.25">
      <c r="N6253" s="44"/>
      <c r="O6253" s="44"/>
      <c r="P6253" s="44"/>
      <c r="Q6253" s="44"/>
      <c r="R6253" s="44"/>
      <c r="S6253" s="44"/>
      <c r="T6253" s="44"/>
      <c r="U6253" s="44"/>
      <c r="V6253" s="44"/>
      <c r="W6253" s="44"/>
      <c r="X6253" s="44"/>
      <c r="Y6253" s="44"/>
    </row>
    <row r="6254" spans="14:25" ht="15" customHeight="1" x14ac:dyDescent="0.25">
      <c r="N6254" s="44"/>
      <c r="O6254" s="44"/>
      <c r="P6254" s="44"/>
      <c r="Q6254" s="44"/>
      <c r="R6254" s="44"/>
      <c r="S6254" s="44"/>
      <c r="T6254" s="44"/>
      <c r="U6254" s="44"/>
      <c r="V6254" s="44"/>
      <c r="W6254" s="44"/>
      <c r="X6254" s="44"/>
      <c r="Y6254" s="44"/>
    </row>
    <row r="6255" spans="14:25" ht="15" customHeight="1" x14ac:dyDescent="0.25">
      <c r="N6255" s="44"/>
      <c r="O6255" s="44"/>
      <c r="P6255" s="44"/>
      <c r="Q6255" s="44"/>
      <c r="R6255" s="44"/>
      <c r="S6255" s="44"/>
      <c r="T6255" s="44"/>
      <c r="U6255" s="44"/>
      <c r="V6255" s="44"/>
      <c r="W6255" s="44"/>
      <c r="X6255" s="44"/>
      <c r="Y6255" s="44"/>
    </row>
    <row r="6256" spans="14:25" ht="15" customHeight="1" x14ac:dyDescent="0.25">
      <c r="N6256" s="44"/>
      <c r="O6256" s="44"/>
      <c r="P6256" s="44"/>
      <c r="Q6256" s="44"/>
      <c r="R6256" s="44"/>
      <c r="S6256" s="44"/>
      <c r="T6256" s="44"/>
      <c r="U6256" s="44"/>
      <c r="V6256" s="44"/>
      <c r="W6256" s="44"/>
      <c r="X6256" s="44"/>
      <c r="Y6256" s="44"/>
    </row>
    <row r="6257" spans="14:25" ht="15" customHeight="1" x14ac:dyDescent="0.25">
      <c r="N6257" s="44"/>
      <c r="O6257" s="44"/>
      <c r="P6257" s="44"/>
      <c r="Q6257" s="44"/>
      <c r="R6257" s="44"/>
      <c r="S6257" s="44"/>
      <c r="T6257" s="44"/>
      <c r="U6257" s="44"/>
      <c r="V6257" s="44"/>
      <c r="W6257" s="44"/>
      <c r="X6257" s="44"/>
      <c r="Y6257" s="44"/>
    </row>
    <row r="6258" spans="14:25" ht="15" customHeight="1" x14ac:dyDescent="0.25">
      <c r="N6258" s="44"/>
      <c r="O6258" s="44"/>
      <c r="P6258" s="44"/>
      <c r="Q6258" s="44"/>
      <c r="R6258" s="44"/>
      <c r="S6258" s="44"/>
      <c r="T6258" s="44"/>
      <c r="U6258" s="44"/>
      <c r="V6258" s="44"/>
      <c r="W6258" s="44"/>
      <c r="X6258" s="44"/>
      <c r="Y6258" s="44"/>
    </row>
    <row r="6259" spans="14:25" ht="15" customHeight="1" x14ac:dyDescent="0.25">
      <c r="N6259" s="44"/>
      <c r="O6259" s="44"/>
      <c r="P6259" s="44"/>
      <c r="Q6259" s="44"/>
      <c r="R6259" s="44"/>
      <c r="S6259" s="44"/>
      <c r="T6259" s="44"/>
      <c r="U6259" s="44"/>
      <c r="V6259" s="44"/>
      <c r="W6259" s="44"/>
      <c r="X6259" s="44"/>
      <c r="Y6259" s="44"/>
    </row>
    <row r="6260" spans="14:25" ht="15" customHeight="1" x14ac:dyDescent="0.25">
      <c r="N6260" s="44"/>
      <c r="O6260" s="44"/>
      <c r="P6260" s="44"/>
      <c r="Q6260" s="44"/>
      <c r="R6260" s="44"/>
      <c r="S6260" s="44"/>
      <c r="T6260" s="44"/>
      <c r="U6260" s="44"/>
      <c r="V6260" s="44"/>
      <c r="W6260" s="44"/>
      <c r="X6260" s="44"/>
      <c r="Y6260" s="44"/>
    </row>
    <row r="6261" spans="14:25" ht="15" customHeight="1" x14ac:dyDescent="0.25">
      <c r="N6261" s="44"/>
      <c r="O6261" s="44"/>
      <c r="P6261" s="44"/>
      <c r="Q6261" s="44"/>
      <c r="R6261" s="44"/>
      <c r="S6261" s="44"/>
      <c r="T6261" s="44"/>
      <c r="U6261" s="44"/>
      <c r="V6261" s="44"/>
      <c r="W6261" s="44"/>
      <c r="X6261" s="44"/>
      <c r="Y6261" s="44"/>
    </row>
    <row r="6262" spans="14:25" ht="15" customHeight="1" x14ac:dyDescent="0.25">
      <c r="N6262" s="44"/>
      <c r="O6262" s="44"/>
      <c r="P6262" s="44"/>
      <c r="Q6262" s="44"/>
      <c r="R6262" s="44"/>
      <c r="S6262" s="44"/>
      <c r="T6262" s="44"/>
      <c r="U6262" s="44"/>
      <c r="V6262" s="44"/>
      <c r="W6262" s="44"/>
      <c r="X6262" s="44"/>
      <c r="Y6262" s="44"/>
    </row>
    <row r="6263" spans="14:25" ht="15" customHeight="1" x14ac:dyDescent="0.25">
      <c r="N6263" s="44"/>
      <c r="O6263" s="44"/>
      <c r="P6263" s="44"/>
      <c r="Q6263" s="44"/>
      <c r="R6263" s="44"/>
      <c r="S6263" s="44"/>
      <c r="T6263" s="44"/>
      <c r="U6263" s="44"/>
      <c r="V6263" s="44"/>
      <c r="W6263" s="44"/>
      <c r="X6263" s="44"/>
      <c r="Y6263" s="44"/>
    </row>
    <row r="6264" spans="14:25" ht="15" customHeight="1" x14ac:dyDescent="0.25">
      <c r="N6264" s="44"/>
      <c r="O6264" s="44"/>
      <c r="P6264" s="44"/>
      <c r="Q6264" s="44"/>
      <c r="R6264" s="44"/>
      <c r="S6264" s="44"/>
      <c r="T6264" s="44"/>
      <c r="U6264" s="44"/>
      <c r="V6264" s="44"/>
      <c r="W6264" s="44"/>
      <c r="X6264" s="44"/>
      <c r="Y6264" s="44"/>
    </row>
    <row r="6265" spans="14:25" ht="15" customHeight="1" x14ac:dyDescent="0.25">
      <c r="N6265" s="44"/>
      <c r="O6265" s="44"/>
      <c r="P6265" s="44"/>
      <c r="Q6265" s="44"/>
      <c r="R6265" s="44"/>
      <c r="S6265" s="44"/>
      <c r="T6265" s="44"/>
      <c r="U6265" s="44"/>
      <c r="V6265" s="44"/>
      <c r="W6265" s="44"/>
      <c r="X6265" s="44"/>
      <c r="Y6265" s="44"/>
    </row>
    <row r="6266" spans="14:25" ht="15" customHeight="1" x14ac:dyDescent="0.25">
      <c r="N6266" s="44"/>
      <c r="O6266" s="44"/>
      <c r="P6266" s="44"/>
      <c r="Q6266" s="44"/>
      <c r="R6266" s="44"/>
      <c r="S6266" s="44"/>
      <c r="T6266" s="44"/>
      <c r="U6266" s="44"/>
      <c r="V6266" s="44"/>
      <c r="W6266" s="44"/>
      <c r="X6266" s="44"/>
      <c r="Y6266" s="44"/>
    </row>
    <row r="6267" spans="14:25" ht="15" customHeight="1" x14ac:dyDescent="0.25">
      <c r="N6267" s="44"/>
      <c r="O6267" s="44"/>
      <c r="P6267" s="44"/>
      <c r="Q6267" s="44"/>
      <c r="R6267" s="44"/>
      <c r="S6267" s="44"/>
      <c r="T6267" s="44"/>
      <c r="U6267" s="44"/>
      <c r="V6267" s="44"/>
      <c r="W6267" s="44"/>
      <c r="X6267" s="44"/>
      <c r="Y6267" s="44"/>
    </row>
    <row r="6268" spans="14:25" ht="15" customHeight="1" x14ac:dyDescent="0.25">
      <c r="N6268" s="44"/>
      <c r="O6268" s="44"/>
      <c r="P6268" s="44"/>
      <c r="Q6268" s="44"/>
      <c r="R6268" s="44"/>
      <c r="S6268" s="44"/>
      <c r="T6268" s="44"/>
      <c r="U6268" s="44"/>
      <c r="V6268" s="44"/>
      <c r="W6268" s="44"/>
      <c r="X6268" s="44"/>
      <c r="Y6268" s="44"/>
    </row>
    <row r="6269" spans="14:25" ht="15" customHeight="1" x14ac:dyDescent="0.25">
      <c r="N6269" s="44"/>
      <c r="O6269" s="44"/>
      <c r="P6269" s="44"/>
      <c r="Q6269" s="44"/>
      <c r="R6269" s="44"/>
      <c r="S6269" s="44"/>
      <c r="T6269" s="44"/>
      <c r="U6269" s="44"/>
      <c r="V6269" s="44"/>
      <c r="W6269" s="44"/>
      <c r="X6269" s="44"/>
      <c r="Y6269" s="44"/>
    </row>
    <row r="6270" spans="14:25" ht="15" customHeight="1" x14ac:dyDescent="0.25">
      <c r="N6270" s="44"/>
      <c r="O6270" s="44"/>
      <c r="P6270" s="44"/>
      <c r="Q6270" s="44"/>
      <c r="R6270" s="44"/>
      <c r="S6270" s="44"/>
      <c r="T6270" s="44"/>
      <c r="U6270" s="44"/>
      <c r="V6270" s="44"/>
      <c r="W6270" s="44"/>
      <c r="X6270" s="44"/>
      <c r="Y6270" s="44"/>
    </row>
    <row r="6271" spans="14:25" ht="15" customHeight="1" x14ac:dyDescent="0.25">
      <c r="N6271" s="44"/>
      <c r="O6271" s="44"/>
      <c r="P6271" s="44"/>
      <c r="Q6271" s="44"/>
      <c r="R6271" s="44"/>
      <c r="S6271" s="44"/>
      <c r="T6271" s="44"/>
      <c r="U6271" s="44"/>
      <c r="V6271" s="44"/>
      <c r="W6271" s="44"/>
      <c r="X6271" s="44"/>
      <c r="Y6271" s="44"/>
    </row>
    <row r="6272" spans="14:25" ht="15" customHeight="1" x14ac:dyDescent="0.25">
      <c r="N6272" s="44"/>
      <c r="O6272" s="44"/>
      <c r="P6272" s="44"/>
      <c r="Q6272" s="44"/>
      <c r="R6272" s="44"/>
      <c r="S6272" s="44"/>
      <c r="T6272" s="44"/>
      <c r="U6272" s="44"/>
      <c r="V6272" s="44"/>
      <c r="W6272" s="44"/>
      <c r="X6272" s="44"/>
      <c r="Y6272" s="44"/>
    </row>
    <row r="6273" spans="14:25" ht="15" customHeight="1" x14ac:dyDescent="0.25">
      <c r="N6273" s="44"/>
      <c r="O6273" s="44"/>
      <c r="P6273" s="44"/>
      <c r="Q6273" s="44"/>
      <c r="R6273" s="44"/>
      <c r="S6273" s="44"/>
      <c r="T6273" s="44"/>
      <c r="U6273" s="44"/>
      <c r="V6273" s="44"/>
      <c r="W6273" s="44"/>
      <c r="X6273" s="44"/>
      <c r="Y6273" s="44"/>
    </row>
    <row r="6274" spans="14:25" ht="15" customHeight="1" x14ac:dyDescent="0.25">
      <c r="N6274" s="44"/>
      <c r="O6274" s="44"/>
      <c r="P6274" s="44"/>
      <c r="Q6274" s="44"/>
      <c r="R6274" s="44"/>
      <c r="S6274" s="44"/>
      <c r="T6274" s="44"/>
      <c r="U6274" s="44"/>
      <c r="V6274" s="44"/>
      <c r="W6274" s="44"/>
      <c r="X6274" s="44"/>
      <c r="Y6274" s="44"/>
    </row>
    <row r="6275" spans="14:25" ht="15" customHeight="1" x14ac:dyDescent="0.25">
      <c r="N6275" s="44"/>
      <c r="O6275" s="44"/>
      <c r="P6275" s="44"/>
      <c r="Q6275" s="44"/>
      <c r="R6275" s="44"/>
      <c r="S6275" s="44"/>
      <c r="T6275" s="44"/>
      <c r="U6275" s="44"/>
      <c r="V6275" s="44"/>
      <c r="W6275" s="44"/>
      <c r="X6275" s="44"/>
      <c r="Y6275" s="44"/>
    </row>
    <row r="6276" spans="14:25" ht="15" customHeight="1" x14ac:dyDescent="0.25">
      <c r="N6276" s="44"/>
      <c r="O6276" s="44"/>
      <c r="P6276" s="44"/>
      <c r="Q6276" s="44"/>
      <c r="R6276" s="44"/>
      <c r="S6276" s="44"/>
      <c r="T6276" s="44"/>
      <c r="U6276" s="44"/>
      <c r="V6276" s="44"/>
      <c r="W6276" s="44"/>
      <c r="X6276" s="44"/>
      <c r="Y6276" s="44"/>
    </row>
    <row r="6277" spans="14:25" ht="15" customHeight="1" x14ac:dyDescent="0.25">
      <c r="N6277" s="44"/>
      <c r="O6277" s="44"/>
      <c r="P6277" s="44"/>
      <c r="Q6277" s="44"/>
      <c r="R6277" s="44"/>
      <c r="S6277" s="44"/>
      <c r="T6277" s="44"/>
      <c r="U6277" s="44"/>
      <c r="V6277" s="44"/>
      <c r="W6277" s="44"/>
      <c r="X6277" s="44"/>
      <c r="Y6277" s="44"/>
    </row>
    <row r="6278" spans="14:25" ht="15" customHeight="1" x14ac:dyDescent="0.25">
      <c r="N6278" s="44"/>
      <c r="O6278" s="44"/>
      <c r="P6278" s="44"/>
      <c r="Q6278" s="44"/>
      <c r="R6278" s="44"/>
      <c r="S6278" s="44"/>
      <c r="T6278" s="44"/>
      <c r="U6278" s="44"/>
      <c r="V6278" s="44"/>
      <c r="W6278" s="44"/>
      <c r="X6278" s="44"/>
      <c r="Y6278" s="44"/>
    </row>
    <row r="6279" spans="14:25" ht="15" customHeight="1" x14ac:dyDescent="0.25">
      <c r="N6279" s="44"/>
      <c r="O6279" s="44"/>
      <c r="P6279" s="44"/>
      <c r="Q6279" s="44"/>
      <c r="R6279" s="44"/>
      <c r="S6279" s="44"/>
      <c r="T6279" s="44"/>
      <c r="U6279" s="44"/>
      <c r="V6279" s="44"/>
      <c r="W6279" s="44"/>
      <c r="X6279" s="44"/>
      <c r="Y6279" s="44"/>
    </row>
    <row r="6280" spans="14:25" ht="15" customHeight="1" x14ac:dyDescent="0.25">
      <c r="N6280" s="44"/>
      <c r="O6280" s="44"/>
      <c r="P6280" s="44"/>
      <c r="Q6280" s="44"/>
      <c r="R6280" s="44"/>
      <c r="S6280" s="44"/>
      <c r="T6280" s="44"/>
      <c r="U6280" s="44"/>
      <c r="V6280" s="44"/>
      <c r="W6280" s="44"/>
      <c r="X6280" s="44"/>
      <c r="Y6280" s="44"/>
    </row>
    <row r="6281" spans="14:25" ht="15" customHeight="1" x14ac:dyDescent="0.25">
      <c r="N6281" s="44"/>
      <c r="O6281" s="44"/>
      <c r="P6281" s="44"/>
      <c r="Q6281" s="44"/>
      <c r="R6281" s="44"/>
      <c r="S6281" s="44"/>
      <c r="T6281" s="44"/>
      <c r="U6281" s="44"/>
      <c r="V6281" s="44"/>
      <c r="W6281" s="44"/>
      <c r="X6281" s="44"/>
      <c r="Y6281" s="44"/>
    </row>
    <row r="6282" spans="14:25" ht="15" customHeight="1" x14ac:dyDescent="0.25">
      <c r="N6282" s="44"/>
      <c r="O6282" s="44"/>
      <c r="P6282" s="44"/>
      <c r="Q6282" s="44"/>
      <c r="R6282" s="44"/>
      <c r="S6282" s="44"/>
      <c r="T6282" s="44"/>
      <c r="U6282" s="44"/>
      <c r="V6282" s="44"/>
      <c r="W6282" s="44"/>
      <c r="X6282" s="44"/>
      <c r="Y6282" s="44"/>
    </row>
    <row r="6283" spans="14:25" ht="15" customHeight="1" x14ac:dyDescent="0.25">
      <c r="N6283" s="44"/>
      <c r="O6283" s="44"/>
      <c r="P6283" s="44"/>
      <c r="Q6283" s="44"/>
      <c r="R6283" s="44"/>
      <c r="S6283" s="44"/>
      <c r="T6283" s="44"/>
      <c r="U6283" s="44"/>
      <c r="V6283" s="44"/>
      <c r="W6283" s="44"/>
      <c r="X6283" s="44"/>
      <c r="Y6283" s="44"/>
    </row>
    <row r="6284" spans="14:25" ht="15" customHeight="1" x14ac:dyDescent="0.25">
      <c r="N6284" s="44"/>
      <c r="O6284" s="44"/>
      <c r="P6284" s="44"/>
      <c r="Q6284" s="44"/>
      <c r="R6284" s="44"/>
      <c r="S6284" s="44"/>
      <c r="T6284" s="44"/>
      <c r="U6284" s="44"/>
      <c r="V6284" s="44"/>
      <c r="W6284" s="44"/>
      <c r="X6284" s="44"/>
      <c r="Y6284" s="44"/>
    </row>
    <row r="6285" spans="14:25" ht="15" customHeight="1" x14ac:dyDescent="0.25">
      <c r="N6285" s="44"/>
      <c r="O6285" s="44"/>
      <c r="P6285" s="44"/>
      <c r="Q6285" s="44"/>
      <c r="R6285" s="44"/>
      <c r="S6285" s="44"/>
      <c r="T6285" s="44"/>
      <c r="U6285" s="44"/>
      <c r="V6285" s="44"/>
      <c r="W6285" s="44"/>
      <c r="X6285" s="44"/>
      <c r="Y6285" s="44"/>
    </row>
    <row r="6286" spans="14:25" ht="15" customHeight="1" x14ac:dyDescent="0.25">
      <c r="N6286" s="44"/>
      <c r="O6286" s="44"/>
      <c r="P6286" s="44"/>
      <c r="Q6286" s="44"/>
      <c r="R6286" s="44"/>
      <c r="S6286" s="44"/>
      <c r="T6286" s="44"/>
      <c r="U6286" s="44"/>
      <c r="V6286" s="44"/>
      <c r="W6286" s="44"/>
      <c r="X6286" s="44"/>
      <c r="Y6286" s="44"/>
    </row>
    <row r="6287" spans="14:25" ht="15" customHeight="1" x14ac:dyDescent="0.25">
      <c r="N6287" s="44"/>
      <c r="O6287" s="44"/>
      <c r="P6287" s="44"/>
      <c r="Q6287" s="44"/>
      <c r="R6287" s="44"/>
      <c r="S6287" s="44"/>
      <c r="T6287" s="44"/>
      <c r="U6287" s="44"/>
      <c r="V6287" s="44"/>
      <c r="W6287" s="44"/>
      <c r="X6287" s="44"/>
      <c r="Y6287" s="44"/>
    </row>
    <row r="6288" spans="14:25" ht="15" customHeight="1" x14ac:dyDescent="0.25">
      <c r="N6288" s="44"/>
      <c r="O6288" s="44"/>
      <c r="P6288" s="44"/>
      <c r="Q6288" s="44"/>
      <c r="R6288" s="44"/>
      <c r="S6288" s="44"/>
      <c r="T6288" s="44"/>
      <c r="U6288" s="44"/>
      <c r="V6288" s="44"/>
      <c r="W6288" s="44"/>
      <c r="X6288" s="44"/>
      <c r="Y6288" s="44"/>
    </row>
    <row r="6289" spans="14:25" ht="15" customHeight="1" x14ac:dyDescent="0.25">
      <c r="N6289" s="44"/>
      <c r="O6289" s="44"/>
      <c r="P6289" s="44"/>
      <c r="Q6289" s="44"/>
      <c r="R6289" s="44"/>
      <c r="S6289" s="44"/>
      <c r="T6289" s="44"/>
      <c r="U6289" s="44"/>
      <c r="V6289" s="44"/>
      <c r="W6289" s="44"/>
      <c r="X6289" s="44"/>
      <c r="Y6289" s="44"/>
    </row>
    <row r="6290" spans="14:25" ht="15" customHeight="1" x14ac:dyDescent="0.25">
      <c r="N6290" s="44"/>
      <c r="O6290" s="44"/>
      <c r="P6290" s="44"/>
      <c r="Q6290" s="44"/>
      <c r="R6290" s="44"/>
      <c r="S6290" s="44"/>
      <c r="T6290" s="44"/>
      <c r="U6290" s="44"/>
      <c r="V6290" s="44"/>
      <c r="W6290" s="44"/>
      <c r="X6290" s="44"/>
      <c r="Y6290" s="44"/>
    </row>
    <row r="6291" spans="14:25" ht="15" customHeight="1" x14ac:dyDescent="0.25">
      <c r="N6291" s="44"/>
      <c r="O6291" s="44"/>
      <c r="P6291" s="44"/>
      <c r="Q6291" s="44"/>
      <c r="R6291" s="44"/>
      <c r="S6291" s="44"/>
      <c r="T6291" s="44"/>
      <c r="U6291" s="44"/>
      <c r="V6291" s="44"/>
      <c r="W6291" s="44"/>
      <c r="X6291" s="44"/>
      <c r="Y6291" s="44"/>
    </row>
    <row r="6292" spans="14:25" ht="15" customHeight="1" x14ac:dyDescent="0.25">
      <c r="N6292" s="44"/>
      <c r="O6292" s="44"/>
      <c r="P6292" s="44"/>
      <c r="Q6292" s="44"/>
      <c r="R6292" s="44"/>
      <c r="S6292" s="44"/>
      <c r="T6292" s="44"/>
      <c r="U6292" s="44"/>
      <c r="V6292" s="44"/>
      <c r="W6292" s="44"/>
      <c r="X6292" s="44"/>
      <c r="Y6292" s="44"/>
    </row>
    <row r="6293" spans="14:25" ht="15" customHeight="1" x14ac:dyDescent="0.25">
      <c r="N6293" s="44"/>
      <c r="O6293" s="44"/>
      <c r="P6293" s="44"/>
      <c r="Q6293" s="44"/>
      <c r="R6293" s="44"/>
      <c r="S6293" s="44"/>
      <c r="T6293" s="44"/>
      <c r="U6293" s="44"/>
      <c r="V6293" s="44"/>
      <c r="W6293" s="44"/>
      <c r="X6293" s="44"/>
      <c r="Y6293" s="44"/>
    </row>
    <row r="6294" spans="14:25" ht="15" customHeight="1" x14ac:dyDescent="0.25">
      <c r="N6294" s="44"/>
      <c r="O6294" s="44"/>
      <c r="P6294" s="44"/>
      <c r="Q6294" s="44"/>
      <c r="R6294" s="44"/>
      <c r="S6294" s="44"/>
      <c r="T6294" s="44"/>
      <c r="U6294" s="44"/>
      <c r="V6294" s="44"/>
      <c r="W6294" s="44"/>
      <c r="X6294" s="44"/>
      <c r="Y6294" s="44"/>
    </row>
    <row r="6295" spans="14:25" ht="15" customHeight="1" x14ac:dyDescent="0.25">
      <c r="N6295" s="44"/>
      <c r="O6295" s="44"/>
      <c r="P6295" s="44"/>
      <c r="Q6295" s="44"/>
      <c r="R6295" s="44"/>
      <c r="S6295" s="44"/>
      <c r="T6295" s="44"/>
      <c r="U6295" s="44"/>
      <c r="V6295" s="44"/>
      <c r="W6295" s="44"/>
      <c r="X6295" s="44"/>
      <c r="Y6295" s="44"/>
    </row>
    <row r="6296" spans="14:25" ht="15" customHeight="1" x14ac:dyDescent="0.25">
      <c r="N6296" s="44"/>
      <c r="O6296" s="44"/>
      <c r="P6296" s="44"/>
      <c r="Q6296" s="44"/>
      <c r="R6296" s="44"/>
      <c r="S6296" s="44"/>
      <c r="T6296" s="44"/>
      <c r="U6296" s="44"/>
      <c r="V6296" s="44"/>
      <c r="W6296" s="44"/>
      <c r="X6296" s="44"/>
      <c r="Y6296" s="44"/>
    </row>
    <row r="6297" spans="14:25" ht="15" customHeight="1" x14ac:dyDescent="0.25">
      <c r="N6297" s="44"/>
      <c r="O6297" s="44"/>
      <c r="P6297" s="44"/>
      <c r="Q6297" s="44"/>
      <c r="R6297" s="44"/>
      <c r="S6297" s="44"/>
      <c r="T6297" s="44"/>
      <c r="U6297" s="44"/>
      <c r="V6297" s="44"/>
      <c r="W6297" s="44"/>
      <c r="X6297" s="44"/>
      <c r="Y6297" s="44"/>
    </row>
    <row r="6298" spans="14:25" ht="15" customHeight="1" x14ac:dyDescent="0.25">
      <c r="N6298" s="44"/>
      <c r="O6298" s="44"/>
      <c r="P6298" s="44"/>
      <c r="Q6298" s="44"/>
      <c r="R6298" s="44"/>
      <c r="S6298" s="44"/>
      <c r="T6298" s="44"/>
      <c r="U6298" s="44"/>
      <c r="V6298" s="44"/>
      <c r="W6298" s="44"/>
      <c r="X6298" s="44"/>
      <c r="Y6298" s="44"/>
    </row>
    <row r="6299" spans="14:25" ht="15" customHeight="1" x14ac:dyDescent="0.25">
      <c r="N6299" s="44"/>
      <c r="O6299" s="44"/>
      <c r="P6299" s="44"/>
      <c r="Q6299" s="44"/>
      <c r="R6299" s="44"/>
      <c r="S6299" s="44"/>
      <c r="T6299" s="44"/>
      <c r="U6299" s="44"/>
      <c r="V6299" s="44"/>
      <c r="W6299" s="44"/>
      <c r="X6299" s="44"/>
      <c r="Y6299" s="44"/>
    </row>
    <row r="6300" spans="14:25" ht="15" customHeight="1" x14ac:dyDescent="0.25">
      <c r="N6300" s="44"/>
      <c r="O6300" s="44"/>
      <c r="P6300" s="44"/>
      <c r="Q6300" s="44"/>
      <c r="R6300" s="44"/>
      <c r="S6300" s="44"/>
      <c r="T6300" s="44"/>
      <c r="U6300" s="44"/>
      <c r="V6300" s="44"/>
      <c r="W6300" s="44"/>
      <c r="X6300" s="44"/>
      <c r="Y6300" s="44"/>
    </row>
    <row r="6301" spans="14:25" ht="15" customHeight="1" x14ac:dyDescent="0.25">
      <c r="N6301" s="44"/>
      <c r="O6301" s="44"/>
      <c r="P6301" s="44"/>
      <c r="Q6301" s="44"/>
      <c r="R6301" s="44"/>
      <c r="S6301" s="44"/>
      <c r="T6301" s="44"/>
      <c r="U6301" s="44"/>
      <c r="V6301" s="44"/>
      <c r="W6301" s="44"/>
      <c r="X6301" s="44"/>
      <c r="Y6301" s="44"/>
    </row>
    <row r="6302" spans="14:25" ht="15" customHeight="1" x14ac:dyDescent="0.25">
      <c r="N6302" s="44"/>
      <c r="O6302" s="44"/>
      <c r="P6302" s="44"/>
      <c r="Q6302" s="44"/>
      <c r="R6302" s="44"/>
      <c r="S6302" s="44"/>
      <c r="T6302" s="44"/>
      <c r="U6302" s="44"/>
      <c r="V6302" s="44"/>
      <c r="W6302" s="44"/>
      <c r="X6302" s="44"/>
      <c r="Y6302" s="44"/>
    </row>
    <row r="6303" spans="14:25" ht="15" customHeight="1" x14ac:dyDescent="0.25">
      <c r="N6303" s="44"/>
      <c r="O6303" s="44"/>
      <c r="P6303" s="44"/>
      <c r="Q6303" s="44"/>
      <c r="R6303" s="44"/>
      <c r="S6303" s="44"/>
      <c r="T6303" s="44"/>
      <c r="U6303" s="44"/>
      <c r="V6303" s="44"/>
      <c r="W6303" s="44"/>
      <c r="X6303" s="44"/>
      <c r="Y6303" s="44"/>
    </row>
    <row r="6304" spans="14:25" ht="15" customHeight="1" x14ac:dyDescent="0.25">
      <c r="N6304" s="44"/>
      <c r="O6304" s="44"/>
      <c r="P6304" s="44"/>
      <c r="Q6304" s="44"/>
      <c r="R6304" s="44"/>
      <c r="S6304" s="44"/>
      <c r="T6304" s="44"/>
      <c r="U6304" s="44"/>
      <c r="V6304" s="44"/>
      <c r="W6304" s="44"/>
      <c r="X6304" s="44"/>
      <c r="Y6304" s="44"/>
    </row>
    <row r="6305" spans="14:25" ht="15" customHeight="1" x14ac:dyDescent="0.25">
      <c r="N6305" s="44"/>
      <c r="O6305" s="44"/>
      <c r="P6305" s="44"/>
      <c r="Q6305" s="44"/>
      <c r="R6305" s="44"/>
      <c r="S6305" s="44"/>
      <c r="T6305" s="44"/>
      <c r="U6305" s="44"/>
      <c r="V6305" s="44"/>
      <c r="W6305" s="44"/>
      <c r="X6305" s="44"/>
      <c r="Y6305" s="44"/>
    </row>
    <row r="6306" spans="14:25" ht="15" customHeight="1" x14ac:dyDescent="0.25">
      <c r="N6306" s="44"/>
      <c r="O6306" s="44"/>
      <c r="P6306" s="44"/>
      <c r="Q6306" s="44"/>
      <c r="R6306" s="44"/>
      <c r="S6306" s="44"/>
      <c r="T6306" s="44"/>
      <c r="U6306" s="44"/>
      <c r="V6306" s="44"/>
      <c r="W6306" s="44"/>
      <c r="X6306" s="44"/>
      <c r="Y6306" s="44"/>
    </row>
    <row r="6307" spans="14:25" ht="15" customHeight="1" x14ac:dyDescent="0.25">
      <c r="N6307" s="44"/>
      <c r="O6307" s="44"/>
      <c r="P6307" s="44"/>
      <c r="Q6307" s="44"/>
      <c r="R6307" s="44"/>
      <c r="S6307" s="44"/>
      <c r="T6307" s="44"/>
      <c r="U6307" s="44"/>
      <c r="V6307" s="44"/>
      <c r="W6307" s="44"/>
      <c r="X6307" s="44"/>
      <c r="Y6307" s="44"/>
    </row>
    <row r="6308" spans="14:25" ht="15" customHeight="1" x14ac:dyDescent="0.25">
      <c r="N6308" s="44"/>
      <c r="O6308" s="44"/>
      <c r="P6308" s="44"/>
      <c r="Q6308" s="44"/>
      <c r="R6308" s="44"/>
      <c r="S6308" s="44"/>
      <c r="T6308" s="44"/>
      <c r="U6308" s="44"/>
      <c r="V6308" s="44"/>
      <c r="W6308" s="44"/>
      <c r="X6308" s="44"/>
      <c r="Y6308" s="44"/>
    </row>
    <row r="6309" spans="14:25" ht="15" customHeight="1" x14ac:dyDescent="0.25">
      <c r="N6309" s="44"/>
      <c r="O6309" s="44"/>
      <c r="P6309" s="44"/>
      <c r="Q6309" s="44"/>
      <c r="R6309" s="44"/>
      <c r="S6309" s="44"/>
      <c r="T6309" s="44"/>
      <c r="U6309" s="44"/>
      <c r="V6309" s="44"/>
      <c r="W6309" s="44"/>
      <c r="X6309" s="44"/>
      <c r="Y6309" s="44"/>
    </row>
    <row r="6310" spans="14:25" ht="15" customHeight="1" x14ac:dyDescent="0.25">
      <c r="N6310" s="44"/>
      <c r="O6310" s="44"/>
      <c r="P6310" s="44"/>
      <c r="Q6310" s="44"/>
      <c r="R6310" s="44"/>
      <c r="S6310" s="44"/>
      <c r="T6310" s="44"/>
      <c r="U6310" s="44"/>
      <c r="V6310" s="44"/>
      <c r="W6310" s="44"/>
      <c r="X6310" s="44"/>
      <c r="Y6310" s="44"/>
    </row>
    <row r="6311" spans="14:25" ht="15" customHeight="1" x14ac:dyDescent="0.25">
      <c r="N6311" s="44"/>
      <c r="O6311" s="44"/>
      <c r="P6311" s="44"/>
      <c r="Q6311" s="44"/>
      <c r="R6311" s="44"/>
      <c r="S6311" s="44"/>
      <c r="T6311" s="44"/>
      <c r="U6311" s="44"/>
      <c r="V6311" s="44"/>
      <c r="W6311" s="44"/>
      <c r="X6311" s="44"/>
      <c r="Y6311" s="44"/>
    </row>
    <row r="6312" spans="14:25" ht="15" customHeight="1" x14ac:dyDescent="0.25">
      <c r="N6312" s="44"/>
      <c r="O6312" s="44"/>
      <c r="P6312" s="44"/>
      <c r="Q6312" s="44"/>
      <c r="R6312" s="44"/>
      <c r="S6312" s="44"/>
      <c r="T6312" s="44"/>
      <c r="U6312" s="44"/>
      <c r="V6312" s="44"/>
      <c r="W6312" s="44"/>
      <c r="X6312" s="44"/>
      <c r="Y6312" s="44"/>
    </row>
    <row r="6313" spans="14:25" ht="15" customHeight="1" x14ac:dyDescent="0.25">
      <c r="N6313" s="44"/>
      <c r="O6313" s="44"/>
      <c r="P6313" s="44"/>
      <c r="Q6313" s="44"/>
      <c r="R6313" s="44"/>
      <c r="S6313" s="44"/>
      <c r="T6313" s="44"/>
      <c r="U6313" s="44"/>
      <c r="V6313" s="44"/>
      <c r="W6313" s="44"/>
      <c r="X6313" s="44"/>
      <c r="Y6313" s="44"/>
    </row>
    <row r="6314" spans="14:25" ht="15" customHeight="1" x14ac:dyDescent="0.25">
      <c r="N6314" s="44"/>
      <c r="O6314" s="44"/>
      <c r="P6314" s="44"/>
      <c r="Q6314" s="44"/>
      <c r="R6314" s="44"/>
      <c r="S6314" s="44"/>
      <c r="T6314" s="44"/>
      <c r="U6314" s="44"/>
      <c r="V6314" s="44"/>
      <c r="W6314" s="44"/>
      <c r="X6314" s="44"/>
      <c r="Y6314" s="44"/>
    </row>
    <row r="6315" spans="14:25" ht="15" customHeight="1" x14ac:dyDescent="0.25">
      <c r="N6315" s="44"/>
      <c r="O6315" s="44"/>
      <c r="P6315" s="44"/>
      <c r="Q6315" s="44"/>
      <c r="R6315" s="44"/>
      <c r="S6315" s="44"/>
      <c r="T6315" s="44"/>
      <c r="U6315" s="44"/>
      <c r="V6315" s="44"/>
      <c r="W6315" s="44"/>
      <c r="X6315" s="44"/>
      <c r="Y6315" s="44"/>
    </row>
    <row r="6316" spans="14:25" ht="15" customHeight="1" x14ac:dyDescent="0.25">
      <c r="N6316" s="44"/>
      <c r="O6316" s="44"/>
      <c r="P6316" s="44"/>
      <c r="Q6316" s="44"/>
      <c r="R6316" s="44"/>
      <c r="S6316" s="44"/>
      <c r="T6316" s="44"/>
      <c r="U6316" s="44"/>
      <c r="V6316" s="44"/>
      <c r="W6316" s="44"/>
      <c r="X6316" s="44"/>
      <c r="Y6316" s="44"/>
    </row>
    <row r="6317" spans="14:25" ht="15" customHeight="1" x14ac:dyDescent="0.25">
      <c r="N6317" s="44"/>
      <c r="O6317" s="44"/>
      <c r="P6317" s="44"/>
      <c r="Q6317" s="44"/>
      <c r="R6317" s="44"/>
      <c r="S6317" s="44"/>
      <c r="T6317" s="44"/>
      <c r="U6317" s="44"/>
      <c r="V6317" s="44"/>
      <c r="W6317" s="44"/>
      <c r="X6317" s="44"/>
      <c r="Y6317" s="44"/>
    </row>
    <row r="6318" spans="14:25" ht="15" customHeight="1" x14ac:dyDescent="0.25">
      <c r="N6318" s="44"/>
      <c r="O6318" s="44"/>
      <c r="P6318" s="44"/>
      <c r="Q6318" s="44"/>
      <c r="R6318" s="44"/>
      <c r="S6318" s="44"/>
      <c r="T6318" s="44"/>
      <c r="U6318" s="44"/>
      <c r="V6318" s="44"/>
      <c r="W6318" s="44"/>
      <c r="X6318" s="44"/>
      <c r="Y6318" s="44"/>
    </row>
    <row r="6319" spans="14:25" ht="15" customHeight="1" x14ac:dyDescent="0.25">
      <c r="N6319" s="44"/>
      <c r="O6319" s="44"/>
      <c r="P6319" s="44"/>
      <c r="Q6319" s="44"/>
      <c r="R6319" s="44"/>
      <c r="S6319" s="44"/>
      <c r="T6319" s="44"/>
      <c r="U6319" s="44"/>
      <c r="V6319" s="44"/>
      <c r="W6319" s="44"/>
      <c r="X6319" s="44"/>
      <c r="Y6319" s="44"/>
    </row>
    <row r="6320" spans="14:25" ht="15" customHeight="1" x14ac:dyDescent="0.25">
      <c r="N6320" s="44"/>
      <c r="O6320" s="44"/>
      <c r="P6320" s="44"/>
      <c r="Q6320" s="44"/>
      <c r="R6320" s="44"/>
      <c r="S6320" s="44"/>
      <c r="T6320" s="44"/>
      <c r="U6320" s="44"/>
      <c r="V6320" s="44"/>
      <c r="W6320" s="44"/>
      <c r="X6320" s="44"/>
      <c r="Y6320" s="44"/>
    </row>
    <row r="6321" spans="14:25" ht="15" customHeight="1" x14ac:dyDescent="0.25">
      <c r="N6321" s="44"/>
      <c r="O6321" s="44"/>
      <c r="P6321" s="44"/>
      <c r="Q6321" s="44"/>
      <c r="R6321" s="44"/>
      <c r="S6321" s="44"/>
      <c r="T6321" s="44"/>
      <c r="U6321" s="44"/>
      <c r="V6321" s="44"/>
      <c r="W6321" s="44"/>
      <c r="X6321" s="44"/>
      <c r="Y6321" s="44"/>
    </row>
    <row r="6322" spans="14:25" ht="15" customHeight="1" x14ac:dyDescent="0.25">
      <c r="N6322" s="44"/>
      <c r="O6322" s="44"/>
      <c r="P6322" s="44"/>
      <c r="Q6322" s="44"/>
      <c r="R6322" s="44"/>
      <c r="S6322" s="44"/>
      <c r="T6322" s="44"/>
      <c r="U6322" s="44"/>
      <c r="V6322" s="44"/>
      <c r="W6322" s="44"/>
      <c r="X6322" s="44"/>
      <c r="Y6322" s="44"/>
    </row>
    <row r="6323" spans="14:25" ht="15" customHeight="1" x14ac:dyDescent="0.25">
      <c r="N6323" s="44"/>
      <c r="O6323" s="44"/>
      <c r="P6323" s="44"/>
      <c r="Q6323" s="44"/>
      <c r="R6323" s="44"/>
      <c r="S6323" s="44"/>
      <c r="T6323" s="44"/>
      <c r="U6323" s="44"/>
      <c r="V6323" s="44"/>
      <c r="W6323" s="44"/>
      <c r="X6323" s="44"/>
      <c r="Y6323" s="44"/>
    </row>
    <row r="6324" spans="14:25" ht="15" customHeight="1" x14ac:dyDescent="0.25">
      <c r="N6324" s="44"/>
      <c r="O6324" s="44"/>
      <c r="P6324" s="44"/>
      <c r="Q6324" s="44"/>
      <c r="R6324" s="44"/>
      <c r="S6324" s="44"/>
      <c r="T6324" s="44"/>
      <c r="U6324" s="44"/>
      <c r="V6324" s="44"/>
      <c r="W6324" s="44"/>
      <c r="X6324" s="44"/>
      <c r="Y6324" s="44"/>
    </row>
    <row r="6325" spans="14:25" ht="15" customHeight="1" x14ac:dyDescent="0.25">
      <c r="N6325" s="44"/>
      <c r="O6325" s="44"/>
      <c r="P6325" s="44"/>
      <c r="Q6325" s="44"/>
      <c r="R6325" s="44"/>
      <c r="S6325" s="44"/>
      <c r="T6325" s="44"/>
      <c r="U6325" s="44"/>
      <c r="V6325" s="44"/>
      <c r="W6325" s="44"/>
      <c r="X6325" s="44"/>
      <c r="Y6325" s="44"/>
    </row>
    <row r="6326" spans="14:25" ht="15" customHeight="1" x14ac:dyDescent="0.25">
      <c r="N6326" s="44"/>
      <c r="O6326" s="44"/>
      <c r="P6326" s="44"/>
      <c r="Q6326" s="44"/>
      <c r="R6326" s="44"/>
      <c r="S6326" s="44"/>
      <c r="T6326" s="44"/>
      <c r="U6326" s="44"/>
      <c r="V6326" s="44"/>
      <c r="W6326" s="44"/>
      <c r="X6326" s="44"/>
      <c r="Y6326" s="44"/>
    </row>
    <row r="6327" spans="14:25" ht="15" customHeight="1" x14ac:dyDescent="0.25">
      <c r="N6327" s="44"/>
      <c r="O6327" s="44"/>
      <c r="P6327" s="44"/>
      <c r="Q6327" s="44"/>
      <c r="R6327" s="44"/>
      <c r="S6327" s="44"/>
      <c r="T6327" s="44"/>
      <c r="U6327" s="44"/>
      <c r="V6327" s="44"/>
      <c r="W6327" s="44"/>
      <c r="X6327" s="44"/>
      <c r="Y6327" s="44"/>
    </row>
    <row r="6328" spans="14:25" ht="15" customHeight="1" x14ac:dyDescent="0.25">
      <c r="N6328" s="44"/>
      <c r="O6328" s="44"/>
      <c r="P6328" s="44"/>
      <c r="Q6328" s="44"/>
      <c r="R6328" s="44"/>
      <c r="S6328" s="44"/>
      <c r="T6328" s="44"/>
      <c r="U6328" s="44"/>
      <c r="V6328" s="44"/>
      <c r="W6328" s="44"/>
      <c r="X6328" s="44"/>
      <c r="Y6328" s="44"/>
    </row>
    <row r="6329" spans="14:25" ht="15" customHeight="1" x14ac:dyDescent="0.25">
      <c r="N6329" s="44"/>
      <c r="O6329" s="44"/>
      <c r="P6329" s="44"/>
      <c r="Q6329" s="44"/>
      <c r="R6329" s="44"/>
      <c r="S6329" s="44"/>
      <c r="T6329" s="44"/>
      <c r="U6329" s="44"/>
      <c r="V6329" s="44"/>
      <c r="W6329" s="44"/>
      <c r="X6329" s="44"/>
      <c r="Y6329" s="44"/>
    </row>
    <row r="6330" spans="14:25" ht="15" customHeight="1" x14ac:dyDescent="0.25">
      <c r="N6330" s="44"/>
      <c r="O6330" s="44"/>
      <c r="P6330" s="44"/>
      <c r="Q6330" s="44"/>
      <c r="R6330" s="44"/>
      <c r="S6330" s="44"/>
      <c r="T6330" s="44"/>
      <c r="U6330" s="44"/>
      <c r="V6330" s="44"/>
      <c r="W6330" s="44"/>
      <c r="X6330" s="44"/>
      <c r="Y6330" s="44"/>
    </row>
    <row r="6331" spans="14:25" ht="15" customHeight="1" x14ac:dyDescent="0.25">
      <c r="N6331" s="44"/>
      <c r="O6331" s="44"/>
      <c r="P6331" s="44"/>
      <c r="Q6331" s="44"/>
      <c r="R6331" s="44"/>
      <c r="S6331" s="44"/>
      <c r="T6331" s="44"/>
      <c r="U6331" s="44"/>
      <c r="V6331" s="44"/>
      <c r="W6331" s="44"/>
      <c r="X6331" s="44"/>
      <c r="Y6331" s="44"/>
    </row>
    <row r="6332" spans="14:25" ht="15" customHeight="1" x14ac:dyDescent="0.25">
      <c r="N6332" s="44"/>
      <c r="O6332" s="44"/>
      <c r="P6332" s="44"/>
      <c r="Q6332" s="44"/>
      <c r="R6332" s="44"/>
      <c r="S6332" s="44"/>
      <c r="T6332" s="44"/>
      <c r="U6332" s="44"/>
      <c r="V6332" s="44"/>
      <c r="W6332" s="44"/>
      <c r="X6332" s="44"/>
      <c r="Y6332" s="44"/>
    </row>
    <row r="6333" spans="14:25" ht="15" customHeight="1" x14ac:dyDescent="0.25">
      <c r="N6333" s="44"/>
      <c r="O6333" s="44"/>
      <c r="P6333" s="44"/>
      <c r="Q6333" s="44"/>
      <c r="R6333" s="44"/>
      <c r="S6333" s="44"/>
      <c r="T6333" s="44"/>
      <c r="U6333" s="44"/>
      <c r="V6333" s="44"/>
      <c r="W6333" s="44"/>
      <c r="X6333" s="44"/>
      <c r="Y6333" s="44"/>
    </row>
    <row r="6334" spans="14:25" ht="15" customHeight="1" x14ac:dyDescent="0.25">
      <c r="N6334" s="44"/>
      <c r="O6334" s="44"/>
      <c r="P6334" s="44"/>
      <c r="Q6334" s="44"/>
      <c r="R6334" s="44"/>
      <c r="S6334" s="44"/>
      <c r="T6334" s="44"/>
      <c r="U6334" s="44"/>
      <c r="V6334" s="44"/>
      <c r="W6334" s="44"/>
      <c r="X6334" s="44"/>
      <c r="Y6334" s="44"/>
    </row>
    <row r="6335" spans="14:25" ht="15" customHeight="1" x14ac:dyDescent="0.25">
      <c r="N6335" s="44"/>
      <c r="O6335" s="44"/>
      <c r="P6335" s="44"/>
      <c r="Q6335" s="44"/>
      <c r="R6335" s="44"/>
      <c r="S6335" s="44"/>
      <c r="T6335" s="44"/>
      <c r="U6335" s="44"/>
      <c r="V6335" s="44"/>
      <c r="W6335" s="44"/>
      <c r="X6335" s="44"/>
      <c r="Y6335" s="44"/>
    </row>
    <row r="6336" spans="14:25" ht="15" customHeight="1" x14ac:dyDescent="0.25">
      <c r="N6336" s="44"/>
      <c r="O6336" s="44"/>
      <c r="P6336" s="44"/>
      <c r="Q6336" s="44"/>
      <c r="R6336" s="44"/>
      <c r="S6336" s="44"/>
      <c r="T6336" s="44"/>
      <c r="U6336" s="44"/>
      <c r="V6336" s="44"/>
      <c r="W6336" s="44"/>
      <c r="X6336" s="44"/>
      <c r="Y6336" s="44"/>
    </row>
    <row r="6337" spans="14:25" ht="15" customHeight="1" x14ac:dyDescent="0.25">
      <c r="N6337" s="44"/>
      <c r="O6337" s="44"/>
      <c r="P6337" s="44"/>
      <c r="Q6337" s="44"/>
      <c r="R6337" s="44"/>
      <c r="S6337" s="44"/>
      <c r="T6337" s="44"/>
      <c r="U6337" s="44"/>
      <c r="V6337" s="44"/>
      <c r="W6337" s="44"/>
      <c r="X6337" s="44"/>
      <c r="Y6337" s="44"/>
    </row>
    <row r="6338" spans="14:25" ht="15" customHeight="1" x14ac:dyDescent="0.25">
      <c r="N6338" s="44"/>
      <c r="O6338" s="44"/>
      <c r="P6338" s="44"/>
      <c r="Q6338" s="44"/>
      <c r="R6338" s="44"/>
      <c r="S6338" s="44"/>
      <c r="T6338" s="44"/>
      <c r="U6338" s="44"/>
      <c r="V6338" s="44"/>
      <c r="W6338" s="44"/>
      <c r="X6338" s="44"/>
      <c r="Y6338" s="44"/>
    </row>
    <row r="6339" spans="14:25" ht="15" customHeight="1" x14ac:dyDescent="0.25">
      <c r="N6339" s="44"/>
      <c r="O6339" s="44"/>
      <c r="P6339" s="44"/>
      <c r="Q6339" s="44"/>
      <c r="R6339" s="44"/>
      <c r="S6339" s="44"/>
      <c r="T6339" s="44"/>
      <c r="U6339" s="44"/>
      <c r="V6339" s="44"/>
      <c r="W6339" s="44"/>
      <c r="X6339" s="44"/>
      <c r="Y6339" s="44"/>
    </row>
    <row r="6340" spans="14:25" ht="15" customHeight="1" x14ac:dyDescent="0.25">
      <c r="N6340" s="44"/>
      <c r="O6340" s="44"/>
      <c r="P6340" s="44"/>
      <c r="Q6340" s="44"/>
      <c r="R6340" s="44"/>
      <c r="S6340" s="44"/>
      <c r="T6340" s="44"/>
      <c r="U6340" s="44"/>
      <c r="V6340" s="44"/>
      <c r="W6340" s="44"/>
      <c r="X6340" s="44"/>
      <c r="Y6340" s="44"/>
    </row>
    <row r="6341" spans="14:25" ht="15" customHeight="1" x14ac:dyDescent="0.25">
      <c r="N6341" s="44"/>
      <c r="O6341" s="44"/>
      <c r="P6341" s="44"/>
      <c r="Q6341" s="44"/>
      <c r="R6341" s="44"/>
      <c r="S6341" s="44"/>
      <c r="T6341" s="44"/>
      <c r="U6341" s="44"/>
      <c r="V6341" s="44"/>
      <c r="W6341" s="44"/>
      <c r="X6341" s="44"/>
      <c r="Y6341" s="44"/>
    </row>
    <row r="6342" spans="14:25" ht="15" customHeight="1" x14ac:dyDescent="0.25">
      <c r="N6342" s="44"/>
      <c r="O6342" s="44"/>
      <c r="P6342" s="44"/>
      <c r="Q6342" s="44"/>
      <c r="R6342" s="44"/>
      <c r="S6342" s="44"/>
      <c r="T6342" s="44"/>
      <c r="U6342" s="44"/>
      <c r="V6342" s="44"/>
      <c r="W6342" s="44"/>
      <c r="X6342" s="44"/>
      <c r="Y6342" s="44"/>
    </row>
    <row r="6343" spans="14:25" ht="15" customHeight="1" x14ac:dyDescent="0.25">
      <c r="N6343" s="44"/>
      <c r="O6343" s="44"/>
      <c r="P6343" s="44"/>
      <c r="Q6343" s="44"/>
      <c r="R6343" s="44"/>
      <c r="S6343" s="44"/>
      <c r="T6343" s="44"/>
      <c r="U6343" s="44"/>
      <c r="V6343" s="44"/>
      <c r="W6343" s="44"/>
      <c r="X6343" s="44"/>
      <c r="Y6343" s="44"/>
    </row>
    <row r="6344" spans="14:25" ht="15" customHeight="1" x14ac:dyDescent="0.25">
      <c r="N6344" s="44"/>
      <c r="O6344" s="44"/>
      <c r="P6344" s="44"/>
      <c r="Q6344" s="44"/>
      <c r="R6344" s="44"/>
      <c r="S6344" s="44"/>
      <c r="T6344" s="44"/>
      <c r="U6344" s="44"/>
      <c r="V6344" s="44"/>
      <c r="W6344" s="44"/>
      <c r="X6344" s="44"/>
      <c r="Y6344" s="44"/>
    </row>
    <row r="6345" spans="14:25" ht="15" customHeight="1" x14ac:dyDescent="0.25">
      <c r="N6345" s="44"/>
      <c r="O6345" s="44"/>
      <c r="P6345" s="44"/>
      <c r="Q6345" s="44"/>
      <c r="R6345" s="44"/>
      <c r="S6345" s="44"/>
      <c r="T6345" s="44"/>
      <c r="U6345" s="44"/>
      <c r="V6345" s="44"/>
      <c r="W6345" s="44"/>
      <c r="X6345" s="44"/>
      <c r="Y6345" s="44"/>
    </row>
    <row r="6346" spans="14:25" ht="15" customHeight="1" x14ac:dyDescent="0.25">
      <c r="N6346" s="44"/>
      <c r="O6346" s="44"/>
      <c r="P6346" s="44"/>
      <c r="Q6346" s="44"/>
      <c r="R6346" s="44"/>
      <c r="S6346" s="44"/>
      <c r="T6346" s="44"/>
      <c r="U6346" s="44"/>
      <c r="V6346" s="44"/>
      <c r="W6346" s="44"/>
      <c r="X6346" s="44"/>
      <c r="Y6346" s="44"/>
    </row>
    <row r="6347" spans="14:25" ht="15" customHeight="1" x14ac:dyDescent="0.25">
      <c r="N6347" s="44"/>
      <c r="O6347" s="44"/>
      <c r="P6347" s="44"/>
      <c r="Q6347" s="44"/>
      <c r="R6347" s="44"/>
      <c r="S6347" s="44"/>
      <c r="T6347" s="44"/>
      <c r="U6347" s="44"/>
      <c r="V6347" s="44"/>
      <c r="W6347" s="44"/>
      <c r="X6347" s="44"/>
      <c r="Y6347" s="44"/>
    </row>
    <row r="6348" spans="14:25" ht="15" customHeight="1" x14ac:dyDescent="0.25">
      <c r="N6348" s="44"/>
      <c r="O6348" s="44"/>
      <c r="P6348" s="44"/>
      <c r="Q6348" s="44"/>
      <c r="R6348" s="44"/>
      <c r="S6348" s="44"/>
      <c r="T6348" s="44"/>
      <c r="U6348" s="44"/>
      <c r="V6348" s="44"/>
      <c r="W6348" s="44"/>
      <c r="X6348" s="44"/>
      <c r="Y6348" s="44"/>
    </row>
    <row r="6349" spans="14:25" ht="15" customHeight="1" x14ac:dyDescent="0.25">
      <c r="N6349" s="44"/>
      <c r="O6349" s="44"/>
      <c r="P6349" s="44"/>
      <c r="Q6349" s="44"/>
      <c r="R6349" s="44"/>
      <c r="S6349" s="44"/>
      <c r="T6349" s="44"/>
      <c r="U6349" s="44"/>
      <c r="V6349" s="44"/>
      <c r="W6349" s="44"/>
      <c r="X6349" s="44"/>
      <c r="Y6349" s="44"/>
    </row>
    <row r="6350" spans="14:25" ht="15" customHeight="1" x14ac:dyDescent="0.25">
      <c r="N6350" s="44"/>
      <c r="O6350" s="44"/>
      <c r="P6350" s="44"/>
      <c r="Q6350" s="44"/>
      <c r="R6350" s="44"/>
      <c r="S6350" s="44"/>
      <c r="T6350" s="44"/>
      <c r="U6350" s="44"/>
      <c r="V6350" s="44"/>
      <c r="W6350" s="44"/>
      <c r="X6350" s="44"/>
      <c r="Y6350" s="44"/>
    </row>
    <row r="6351" spans="14:25" ht="15" customHeight="1" x14ac:dyDescent="0.25">
      <c r="N6351" s="44"/>
      <c r="O6351" s="44"/>
      <c r="P6351" s="44"/>
      <c r="Q6351" s="44"/>
      <c r="R6351" s="44"/>
      <c r="S6351" s="44"/>
      <c r="T6351" s="44"/>
      <c r="U6351" s="44"/>
      <c r="V6351" s="44"/>
      <c r="W6351" s="44"/>
      <c r="X6351" s="44"/>
      <c r="Y6351" s="44"/>
    </row>
    <row r="6352" spans="14:25" ht="15" customHeight="1" x14ac:dyDescent="0.25">
      <c r="N6352" s="44"/>
      <c r="O6352" s="44"/>
      <c r="P6352" s="44"/>
      <c r="Q6352" s="44"/>
      <c r="R6352" s="44"/>
      <c r="S6352" s="44"/>
      <c r="T6352" s="44"/>
      <c r="U6352" s="44"/>
      <c r="V6352" s="44"/>
      <c r="W6352" s="44"/>
      <c r="X6352" s="44"/>
      <c r="Y6352" s="44"/>
    </row>
    <row r="6353" spans="14:25" ht="15" customHeight="1" x14ac:dyDescent="0.25">
      <c r="N6353" s="44"/>
      <c r="O6353" s="44"/>
      <c r="P6353" s="44"/>
      <c r="Q6353" s="44"/>
      <c r="R6353" s="44"/>
      <c r="S6353" s="44"/>
      <c r="T6353" s="44"/>
      <c r="U6353" s="44"/>
      <c r="V6353" s="44"/>
      <c r="W6353" s="44"/>
      <c r="X6353" s="44"/>
      <c r="Y6353" s="44"/>
    </row>
    <row r="6354" spans="14:25" ht="15" customHeight="1" x14ac:dyDescent="0.25">
      <c r="N6354" s="44"/>
      <c r="O6354" s="44"/>
      <c r="P6354" s="44"/>
      <c r="Q6354" s="44"/>
      <c r="R6354" s="44"/>
      <c r="S6354" s="44"/>
      <c r="T6354" s="44"/>
      <c r="U6354" s="44"/>
      <c r="V6354" s="44"/>
      <c r="W6354" s="44"/>
      <c r="X6354" s="44"/>
      <c r="Y6354" s="44"/>
    </row>
    <row r="6355" spans="14:25" ht="15" customHeight="1" x14ac:dyDescent="0.25">
      <c r="N6355" s="44"/>
      <c r="O6355" s="44"/>
      <c r="P6355" s="44"/>
      <c r="Q6355" s="44"/>
      <c r="R6355" s="44"/>
      <c r="S6355" s="44"/>
      <c r="T6355" s="44"/>
      <c r="U6355" s="44"/>
      <c r="V6355" s="44"/>
      <c r="W6355" s="44"/>
      <c r="X6355" s="44"/>
      <c r="Y6355" s="44"/>
    </row>
    <row r="6356" spans="14:25" ht="15" customHeight="1" x14ac:dyDescent="0.25">
      <c r="N6356" s="44"/>
      <c r="O6356" s="44"/>
      <c r="P6356" s="44"/>
      <c r="Q6356" s="44"/>
      <c r="R6356" s="44"/>
      <c r="S6356" s="44"/>
      <c r="T6356" s="44"/>
      <c r="U6356" s="44"/>
      <c r="V6356" s="44"/>
      <c r="W6356" s="44"/>
      <c r="X6356" s="44"/>
      <c r="Y6356" s="44"/>
    </row>
    <row r="6357" spans="14:25" ht="15" customHeight="1" x14ac:dyDescent="0.25">
      <c r="N6357" s="44"/>
      <c r="O6357" s="44"/>
      <c r="P6357" s="44"/>
      <c r="Q6357" s="44"/>
      <c r="R6357" s="44"/>
      <c r="S6357" s="44"/>
      <c r="T6357" s="44"/>
      <c r="U6357" s="44"/>
      <c r="V6357" s="44"/>
      <c r="W6357" s="44"/>
      <c r="X6357" s="44"/>
      <c r="Y6357" s="44"/>
    </row>
    <row r="6358" spans="14:25" ht="15" customHeight="1" x14ac:dyDescent="0.25">
      <c r="N6358" s="44"/>
      <c r="O6358" s="44"/>
      <c r="P6358" s="44"/>
      <c r="Q6358" s="44"/>
      <c r="R6358" s="44"/>
      <c r="S6358" s="44"/>
      <c r="T6358" s="44"/>
      <c r="U6358" s="44"/>
      <c r="V6358" s="44"/>
      <c r="W6358" s="44"/>
      <c r="X6358" s="44"/>
      <c r="Y6358" s="44"/>
    </row>
    <row r="6359" spans="14:25" ht="15" customHeight="1" x14ac:dyDescent="0.25">
      <c r="N6359" s="44"/>
      <c r="O6359" s="44"/>
      <c r="P6359" s="44"/>
      <c r="Q6359" s="44"/>
      <c r="R6359" s="44"/>
      <c r="S6359" s="44"/>
      <c r="T6359" s="44"/>
      <c r="U6359" s="44"/>
      <c r="V6359" s="44"/>
      <c r="W6359" s="44"/>
      <c r="X6359" s="44"/>
      <c r="Y6359" s="44"/>
    </row>
    <row r="6360" spans="14:25" ht="15" customHeight="1" x14ac:dyDescent="0.25">
      <c r="N6360" s="44"/>
      <c r="O6360" s="44"/>
      <c r="P6360" s="44"/>
      <c r="Q6360" s="44"/>
      <c r="R6360" s="44"/>
      <c r="S6360" s="44"/>
      <c r="T6360" s="44"/>
      <c r="U6360" s="44"/>
      <c r="V6360" s="44"/>
      <c r="W6360" s="44"/>
      <c r="X6360" s="44"/>
      <c r="Y6360" s="44"/>
    </row>
    <row r="6361" spans="14:25" ht="15" customHeight="1" x14ac:dyDescent="0.25">
      <c r="N6361" s="44"/>
      <c r="O6361" s="44"/>
      <c r="P6361" s="44"/>
      <c r="Q6361" s="44"/>
      <c r="R6361" s="44"/>
      <c r="S6361" s="44"/>
      <c r="T6361" s="44"/>
      <c r="U6361" s="44"/>
      <c r="V6361" s="44"/>
      <c r="W6361" s="44"/>
      <c r="X6361" s="44"/>
      <c r="Y6361" s="44"/>
    </row>
    <row r="6362" spans="14:25" ht="15" customHeight="1" x14ac:dyDescent="0.25">
      <c r="N6362" s="44"/>
      <c r="O6362" s="44"/>
      <c r="P6362" s="44"/>
      <c r="Q6362" s="44"/>
      <c r="R6362" s="44"/>
      <c r="S6362" s="44"/>
      <c r="T6362" s="44"/>
      <c r="U6362" s="44"/>
      <c r="V6362" s="44"/>
      <c r="W6362" s="44"/>
      <c r="X6362" s="44"/>
      <c r="Y6362" s="44"/>
    </row>
    <row r="6363" spans="14:25" ht="15" customHeight="1" x14ac:dyDescent="0.25">
      <c r="N6363" s="44"/>
      <c r="O6363" s="44"/>
      <c r="P6363" s="44"/>
      <c r="Q6363" s="44"/>
      <c r="R6363" s="44"/>
      <c r="S6363" s="44"/>
      <c r="T6363" s="44"/>
      <c r="U6363" s="44"/>
      <c r="V6363" s="44"/>
      <c r="W6363" s="44"/>
      <c r="X6363" s="44"/>
      <c r="Y6363" s="44"/>
    </row>
    <row r="6364" spans="14:25" ht="15" customHeight="1" x14ac:dyDescent="0.25">
      <c r="N6364" s="44"/>
      <c r="O6364" s="44"/>
      <c r="P6364" s="44"/>
      <c r="Q6364" s="44"/>
      <c r="R6364" s="44"/>
      <c r="S6364" s="44"/>
      <c r="T6364" s="44"/>
      <c r="U6364" s="44"/>
      <c r="V6364" s="44"/>
      <c r="W6364" s="44"/>
      <c r="X6364" s="44"/>
      <c r="Y6364" s="44"/>
    </row>
    <row r="6365" spans="14:25" ht="15" customHeight="1" x14ac:dyDescent="0.25">
      <c r="N6365" s="44"/>
      <c r="O6365" s="44"/>
      <c r="P6365" s="44"/>
      <c r="Q6365" s="44"/>
      <c r="R6365" s="44"/>
      <c r="S6365" s="44"/>
      <c r="T6365" s="44"/>
      <c r="U6365" s="44"/>
      <c r="V6365" s="44"/>
      <c r="W6365" s="44"/>
      <c r="X6365" s="44"/>
      <c r="Y6365" s="44"/>
    </row>
    <row r="6366" spans="14:25" ht="15" customHeight="1" x14ac:dyDescent="0.25">
      <c r="N6366" s="44"/>
      <c r="O6366" s="44"/>
      <c r="P6366" s="44"/>
      <c r="Q6366" s="44"/>
      <c r="R6366" s="44"/>
      <c r="S6366" s="44"/>
      <c r="T6366" s="44"/>
      <c r="U6366" s="44"/>
      <c r="V6366" s="44"/>
      <c r="W6366" s="44"/>
      <c r="X6366" s="44"/>
      <c r="Y6366" s="44"/>
    </row>
    <row r="6367" spans="14:25" ht="15" customHeight="1" x14ac:dyDescent="0.25">
      <c r="N6367" s="44"/>
      <c r="O6367" s="44"/>
      <c r="P6367" s="44"/>
      <c r="Q6367" s="44"/>
      <c r="R6367" s="44"/>
      <c r="S6367" s="44"/>
      <c r="T6367" s="44"/>
      <c r="U6367" s="44"/>
      <c r="V6367" s="44"/>
      <c r="W6367" s="44"/>
      <c r="X6367" s="44"/>
      <c r="Y6367" s="44"/>
    </row>
    <row r="6368" spans="14:25" ht="15" customHeight="1" x14ac:dyDescent="0.25">
      <c r="N6368" s="44"/>
      <c r="O6368" s="44"/>
      <c r="P6368" s="44"/>
      <c r="Q6368" s="44"/>
      <c r="R6368" s="44"/>
      <c r="S6368" s="44"/>
      <c r="T6368" s="44"/>
      <c r="U6368" s="44"/>
      <c r="V6368" s="44"/>
      <c r="W6368" s="44"/>
      <c r="X6368" s="44"/>
      <c r="Y6368" s="44"/>
    </row>
    <row r="6369" spans="14:25" ht="15" customHeight="1" x14ac:dyDescent="0.25">
      <c r="N6369" s="44"/>
      <c r="O6369" s="44"/>
      <c r="P6369" s="44"/>
      <c r="Q6369" s="44"/>
      <c r="R6369" s="44"/>
      <c r="S6369" s="44"/>
      <c r="T6369" s="44"/>
      <c r="U6369" s="44"/>
      <c r="V6369" s="44"/>
      <c r="W6369" s="44"/>
      <c r="X6369" s="44"/>
      <c r="Y6369" s="44"/>
    </row>
    <row r="6370" spans="14:25" ht="15" customHeight="1" x14ac:dyDescent="0.25">
      <c r="N6370" s="44"/>
      <c r="O6370" s="44"/>
      <c r="P6370" s="44"/>
      <c r="Q6370" s="44"/>
      <c r="R6370" s="44"/>
      <c r="S6370" s="44"/>
      <c r="T6370" s="44"/>
      <c r="U6370" s="44"/>
      <c r="V6370" s="44"/>
      <c r="W6370" s="44"/>
      <c r="X6370" s="44"/>
      <c r="Y6370" s="44"/>
    </row>
    <row r="6371" spans="14:25" ht="15" customHeight="1" x14ac:dyDescent="0.25">
      <c r="N6371" s="44"/>
      <c r="O6371" s="44"/>
      <c r="P6371" s="44"/>
      <c r="Q6371" s="44"/>
      <c r="R6371" s="44"/>
      <c r="S6371" s="44"/>
      <c r="T6371" s="44"/>
      <c r="U6371" s="44"/>
      <c r="V6371" s="44"/>
      <c r="W6371" s="44"/>
      <c r="X6371" s="44"/>
      <c r="Y6371" s="44"/>
    </row>
    <row r="6372" spans="14:25" ht="15" customHeight="1" x14ac:dyDescent="0.25">
      <c r="N6372" s="44"/>
      <c r="O6372" s="44"/>
      <c r="P6372" s="44"/>
      <c r="Q6372" s="44"/>
      <c r="R6372" s="44"/>
      <c r="S6372" s="44"/>
      <c r="T6372" s="44"/>
      <c r="U6372" s="44"/>
      <c r="V6372" s="44"/>
      <c r="W6372" s="44"/>
      <c r="X6372" s="44"/>
      <c r="Y6372" s="44"/>
    </row>
    <row r="6373" spans="14:25" ht="15" customHeight="1" x14ac:dyDescent="0.25">
      <c r="N6373" s="44"/>
      <c r="O6373" s="44"/>
      <c r="P6373" s="44"/>
      <c r="Q6373" s="44"/>
      <c r="R6373" s="44"/>
      <c r="S6373" s="44"/>
      <c r="T6373" s="44"/>
      <c r="U6373" s="44"/>
      <c r="V6373" s="44"/>
      <c r="W6373" s="44"/>
      <c r="X6373" s="44"/>
      <c r="Y6373" s="44"/>
    </row>
    <row r="6374" spans="14:25" ht="15" customHeight="1" x14ac:dyDescent="0.25">
      <c r="N6374" s="44"/>
      <c r="O6374" s="44"/>
      <c r="P6374" s="44"/>
      <c r="Q6374" s="44"/>
      <c r="R6374" s="44"/>
      <c r="S6374" s="44"/>
      <c r="T6374" s="44"/>
      <c r="U6374" s="44"/>
      <c r="V6374" s="44"/>
      <c r="W6374" s="44"/>
      <c r="X6374" s="44"/>
      <c r="Y6374" s="44"/>
    </row>
    <row r="6375" spans="14:25" ht="15" customHeight="1" x14ac:dyDescent="0.25">
      <c r="N6375" s="44"/>
      <c r="O6375" s="44"/>
      <c r="P6375" s="44"/>
      <c r="Q6375" s="44"/>
      <c r="R6375" s="44"/>
      <c r="S6375" s="44"/>
      <c r="T6375" s="44"/>
      <c r="U6375" s="44"/>
      <c r="V6375" s="44"/>
      <c r="W6375" s="44"/>
      <c r="X6375" s="44"/>
      <c r="Y6375" s="44"/>
    </row>
    <row r="6376" spans="14:25" ht="15" customHeight="1" x14ac:dyDescent="0.25">
      <c r="N6376" s="44"/>
      <c r="O6376" s="44"/>
      <c r="P6376" s="44"/>
      <c r="Q6376" s="44"/>
      <c r="R6376" s="44"/>
      <c r="S6376" s="44"/>
      <c r="T6376" s="44"/>
      <c r="U6376" s="44"/>
      <c r="V6376" s="44"/>
      <c r="W6376" s="44"/>
      <c r="X6376" s="44"/>
      <c r="Y6376" s="44"/>
    </row>
    <row r="6377" spans="14:25" ht="15" customHeight="1" x14ac:dyDescent="0.25">
      <c r="N6377" s="44"/>
      <c r="O6377" s="44"/>
      <c r="P6377" s="44"/>
      <c r="Q6377" s="44"/>
      <c r="R6377" s="44"/>
      <c r="S6377" s="44"/>
      <c r="T6377" s="44"/>
      <c r="U6377" s="44"/>
      <c r="V6377" s="44"/>
      <c r="W6377" s="44"/>
      <c r="X6377" s="44"/>
      <c r="Y6377" s="44"/>
    </row>
    <row r="6378" spans="14:25" ht="15" customHeight="1" x14ac:dyDescent="0.25">
      <c r="N6378" s="44"/>
      <c r="O6378" s="44"/>
      <c r="P6378" s="44"/>
      <c r="Q6378" s="44"/>
      <c r="R6378" s="44"/>
      <c r="S6378" s="44"/>
      <c r="T6378" s="44"/>
      <c r="U6378" s="44"/>
      <c r="V6378" s="44"/>
      <c r="W6378" s="44"/>
      <c r="X6378" s="44"/>
      <c r="Y6378" s="44"/>
    </row>
    <row r="6379" spans="14:25" ht="15" customHeight="1" x14ac:dyDescent="0.25">
      <c r="N6379" s="44"/>
      <c r="O6379" s="44"/>
      <c r="P6379" s="44"/>
      <c r="Q6379" s="44"/>
      <c r="R6379" s="44"/>
      <c r="S6379" s="44"/>
      <c r="T6379" s="44"/>
      <c r="U6379" s="44"/>
      <c r="V6379" s="44"/>
      <c r="W6379" s="44"/>
      <c r="X6379" s="44"/>
      <c r="Y6379" s="44"/>
    </row>
    <row r="6380" spans="14:25" ht="15" customHeight="1" x14ac:dyDescent="0.25">
      <c r="N6380" s="44"/>
      <c r="O6380" s="44"/>
      <c r="P6380" s="44"/>
      <c r="Q6380" s="44"/>
      <c r="R6380" s="44"/>
      <c r="S6380" s="44"/>
      <c r="T6380" s="44"/>
      <c r="U6380" s="44"/>
      <c r="V6380" s="44"/>
      <c r="W6380" s="44"/>
      <c r="X6380" s="44"/>
      <c r="Y6380" s="44"/>
    </row>
    <row r="6381" spans="14:25" ht="15" customHeight="1" x14ac:dyDescent="0.25">
      <c r="N6381" s="44"/>
      <c r="O6381" s="44"/>
      <c r="P6381" s="44"/>
      <c r="Q6381" s="44"/>
      <c r="R6381" s="44"/>
      <c r="S6381" s="44"/>
      <c r="T6381" s="44"/>
      <c r="U6381" s="44"/>
      <c r="V6381" s="44"/>
      <c r="W6381" s="44"/>
      <c r="X6381" s="44"/>
      <c r="Y6381" s="44"/>
    </row>
    <row r="6382" spans="14:25" ht="15" customHeight="1" x14ac:dyDescent="0.25">
      <c r="N6382" s="44"/>
      <c r="O6382" s="44"/>
      <c r="P6382" s="44"/>
      <c r="Q6382" s="44"/>
      <c r="R6382" s="44"/>
      <c r="S6382" s="44"/>
      <c r="T6382" s="44"/>
      <c r="U6382" s="44"/>
      <c r="V6382" s="44"/>
      <c r="W6382" s="44"/>
      <c r="X6382" s="44"/>
      <c r="Y6382" s="44"/>
    </row>
    <row r="6383" spans="14:25" ht="15" customHeight="1" x14ac:dyDescent="0.25">
      <c r="N6383" s="44"/>
      <c r="O6383" s="44"/>
      <c r="P6383" s="44"/>
      <c r="Q6383" s="44"/>
      <c r="R6383" s="44"/>
      <c r="S6383" s="44"/>
      <c r="T6383" s="44"/>
      <c r="U6383" s="44"/>
      <c r="V6383" s="44"/>
      <c r="W6383" s="44"/>
      <c r="X6383" s="44"/>
      <c r="Y6383" s="44"/>
    </row>
    <row r="6384" spans="14:25" ht="15" customHeight="1" x14ac:dyDescent="0.25">
      <c r="N6384" s="44"/>
      <c r="O6384" s="44"/>
      <c r="P6384" s="44"/>
      <c r="Q6384" s="44"/>
      <c r="R6384" s="44"/>
      <c r="S6384" s="44"/>
      <c r="T6384" s="44"/>
      <c r="U6384" s="44"/>
      <c r="V6384" s="44"/>
      <c r="W6384" s="44"/>
      <c r="X6384" s="44"/>
      <c r="Y6384" s="44"/>
    </row>
    <row r="6385" spans="14:25" ht="15" customHeight="1" x14ac:dyDescent="0.25">
      <c r="N6385" s="44"/>
      <c r="O6385" s="44"/>
      <c r="P6385" s="44"/>
      <c r="Q6385" s="44"/>
      <c r="R6385" s="44"/>
      <c r="S6385" s="44"/>
      <c r="T6385" s="44"/>
      <c r="U6385" s="44"/>
      <c r="V6385" s="44"/>
      <c r="W6385" s="44"/>
      <c r="X6385" s="44"/>
      <c r="Y6385" s="44"/>
    </row>
    <row r="6386" spans="14:25" ht="15" customHeight="1" x14ac:dyDescent="0.25">
      <c r="N6386" s="44"/>
      <c r="O6386" s="44"/>
      <c r="P6386" s="44"/>
      <c r="Q6386" s="44"/>
      <c r="R6386" s="44"/>
      <c r="S6386" s="44"/>
      <c r="T6386" s="44"/>
      <c r="U6386" s="44"/>
      <c r="V6386" s="44"/>
      <c r="W6386" s="44"/>
      <c r="X6386" s="44"/>
      <c r="Y6386" s="44"/>
    </row>
    <row r="6387" spans="14:25" ht="15" customHeight="1" x14ac:dyDescent="0.25">
      <c r="N6387" s="44"/>
      <c r="O6387" s="44"/>
      <c r="P6387" s="44"/>
      <c r="Q6387" s="44"/>
      <c r="R6387" s="44"/>
      <c r="S6387" s="44"/>
      <c r="T6387" s="44"/>
      <c r="U6387" s="44"/>
      <c r="V6387" s="44"/>
      <c r="W6387" s="44"/>
      <c r="X6387" s="44"/>
      <c r="Y6387" s="44"/>
    </row>
    <row r="6388" spans="14:25" ht="15" customHeight="1" x14ac:dyDescent="0.25">
      <c r="N6388" s="44"/>
      <c r="O6388" s="44"/>
      <c r="P6388" s="44"/>
      <c r="Q6388" s="44"/>
      <c r="R6388" s="44"/>
      <c r="S6388" s="44"/>
      <c r="T6388" s="44"/>
      <c r="U6388" s="44"/>
      <c r="V6388" s="44"/>
      <c r="W6388" s="44"/>
      <c r="X6388" s="44"/>
      <c r="Y6388" s="44"/>
    </row>
    <row r="6389" spans="14:25" ht="15" customHeight="1" x14ac:dyDescent="0.25">
      <c r="N6389" s="44"/>
      <c r="O6389" s="44"/>
      <c r="P6389" s="44"/>
      <c r="Q6389" s="44"/>
      <c r="R6389" s="44"/>
      <c r="S6389" s="44"/>
      <c r="T6389" s="44"/>
      <c r="U6389" s="44"/>
      <c r="V6389" s="44"/>
      <c r="W6389" s="44"/>
      <c r="X6389" s="44"/>
      <c r="Y6389" s="44"/>
    </row>
    <row r="6390" spans="14:25" ht="15" customHeight="1" x14ac:dyDescent="0.25">
      <c r="N6390" s="44"/>
      <c r="O6390" s="44"/>
      <c r="P6390" s="44"/>
      <c r="Q6390" s="44"/>
      <c r="R6390" s="44"/>
      <c r="S6390" s="44"/>
      <c r="T6390" s="44"/>
      <c r="U6390" s="44"/>
      <c r="V6390" s="44"/>
      <c r="W6390" s="44"/>
      <c r="X6390" s="44"/>
      <c r="Y6390" s="44"/>
    </row>
    <row r="6391" spans="14:25" ht="15" customHeight="1" x14ac:dyDescent="0.25">
      <c r="N6391" s="44"/>
      <c r="O6391" s="44"/>
      <c r="P6391" s="44"/>
      <c r="Q6391" s="44"/>
      <c r="R6391" s="44"/>
      <c r="S6391" s="44"/>
      <c r="T6391" s="44"/>
      <c r="U6391" s="44"/>
      <c r="V6391" s="44"/>
      <c r="W6391" s="44"/>
      <c r="X6391" s="44"/>
      <c r="Y6391" s="44"/>
    </row>
    <row r="6392" spans="14:25" ht="15" customHeight="1" x14ac:dyDescent="0.25">
      <c r="N6392" s="44"/>
      <c r="O6392" s="44"/>
      <c r="P6392" s="44"/>
      <c r="Q6392" s="44"/>
      <c r="R6392" s="44"/>
      <c r="S6392" s="44"/>
      <c r="T6392" s="44"/>
      <c r="U6392" s="44"/>
      <c r="V6392" s="44"/>
      <c r="W6392" s="44"/>
      <c r="X6392" s="44"/>
      <c r="Y6392" s="44"/>
    </row>
    <row r="6393" spans="14:25" ht="15" customHeight="1" x14ac:dyDescent="0.25">
      <c r="N6393" s="44"/>
      <c r="O6393" s="44"/>
      <c r="P6393" s="44"/>
      <c r="Q6393" s="44"/>
      <c r="R6393" s="44"/>
      <c r="S6393" s="44"/>
      <c r="T6393" s="44"/>
      <c r="U6393" s="44"/>
      <c r="V6393" s="44"/>
      <c r="W6393" s="44"/>
      <c r="X6393" s="44"/>
      <c r="Y6393" s="44"/>
    </row>
    <row r="6394" spans="14:25" ht="15" customHeight="1" x14ac:dyDescent="0.25">
      <c r="N6394" s="44"/>
      <c r="O6394" s="44"/>
      <c r="P6394" s="44"/>
      <c r="Q6394" s="44"/>
      <c r="R6394" s="44"/>
      <c r="S6394" s="44"/>
      <c r="T6394" s="44"/>
      <c r="U6394" s="44"/>
      <c r="V6394" s="44"/>
      <c r="W6394" s="44"/>
      <c r="X6394" s="44"/>
      <c r="Y6394" s="44"/>
    </row>
    <row r="6395" spans="14:25" ht="15" customHeight="1" x14ac:dyDescent="0.25">
      <c r="N6395" s="44"/>
      <c r="O6395" s="44"/>
      <c r="P6395" s="44"/>
      <c r="Q6395" s="44"/>
      <c r="R6395" s="44"/>
      <c r="S6395" s="44"/>
      <c r="T6395" s="44"/>
      <c r="U6395" s="44"/>
      <c r="V6395" s="44"/>
      <c r="W6395" s="44"/>
      <c r="X6395" s="44"/>
      <c r="Y6395" s="44"/>
    </row>
    <row r="6396" spans="14:25" ht="15" customHeight="1" x14ac:dyDescent="0.25">
      <c r="N6396" s="44"/>
      <c r="O6396" s="44"/>
      <c r="P6396" s="44"/>
      <c r="Q6396" s="44"/>
      <c r="R6396" s="44"/>
      <c r="S6396" s="44"/>
      <c r="T6396" s="44"/>
      <c r="U6396" s="44"/>
      <c r="V6396" s="44"/>
      <c r="W6396" s="44"/>
      <c r="X6396" s="44"/>
      <c r="Y6396" s="44"/>
    </row>
    <row r="6397" spans="14:25" ht="15" customHeight="1" x14ac:dyDescent="0.25">
      <c r="N6397" s="44"/>
      <c r="O6397" s="44"/>
      <c r="P6397" s="44"/>
      <c r="Q6397" s="44"/>
      <c r="R6397" s="44"/>
      <c r="S6397" s="44"/>
      <c r="T6397" s="44"/>
      <c r="U6397" s="44"/>
      <c r="V6397" s="44"/>
      <c r="W6397" s="44"/>
      <c r="X6397" s="44"/>
      <c r="Y6397" s="44"/>
    </row>
    <row r="6398" spans="14:25" ht="15" customHeight="1" x14ac:dyDescent="0.25">
      <c r="N6398" s="44"/>
      <c r="O6398" s="44"/>
      <c r="P6398" s="44"/>
      <c r="Q6398" s="44"/>
      <c r="R6398" s="44"/>
      <c r="S6398" s="44"/>
      <c r="T6398" s="44"/>
      <c r="U6398" s="44"/>
      <c r="V6398" s="44"/>
      <c r="W6398" s="44"/>
      <c r="X6398" s="44"/>
      <c r="Y6398" s="44"/>
    </row>
    <row r="6399" spans="14:25" ht="15" customHeight="1" x14ac:dyDescent="0.25">
      <c r="N6399" s="44"/>
      <c r="O6399" s="44"/>
      <c r="P6399" s="44"/>
      <c r="Q6399" s="44"/>
      <c r="R6399" s="44"/>
      <c r="S6399" s="44"/>
      <c r="T6399" s="44"/>
      <c r="U6399" s="44"/>
      <c r="V6399" s="44"/>
      <c r="W6399" s="44"/>
      <c r="X6399" s="44"/>
      <c r="Y6399" s="44"/>
    </row>
    <row r="6400" spans="14:25" ht="15" customHeight="1" x14ac:dyDescent="0.25">
      <c r="N6400" s="44"/>
      <c r="O6400" s="44"/>
      <c r="P6400" s="44"/>
      <c r="Q6400" s="44"/>
      <c r="R6400" s="44"/>
      <c r="S6400" s="44"/>
      <c r="T6400" s="44"/>
      <c r="U6400" s="44"/>
      <c r="V6400" s="44"/>
      <c r="W6400" s="44"/>
      <c r="X6400" s="44"/>
      <c r="Y6400" s="44"/>
    </row>
    <row r="6401" spans="14:25" ht="15" customHeight="1" x14ac:dyDescent="0.25">
      <c r="N6401" s="44"/>
      <c r="O6401" s="44"/>
      <c r="P6401" s="44"/>
      <c r="Q6401" s="44"/>
      <c r="R6401" s="44"/>
      <c r="S6401" s="44"/>
      <c r="T6401" s="44"/>
      <c r="U6401" s="44"/>
      <c r="V6401" s="44"/>
      <c r="W6401" s="44"/>
      <c r="X6401" s="44"/>
      <c r="Y6401" s="44"/>
    </row>
    <row r="6402" spans="14:25" ht="15" customHeight="1" x14ac:dyDescent="0.25">
      <c r="N6402" s="44"/>
      <c r="O6402" s="44"/>
      <c r="P6402" s="44"/>
      <c r="Q6402" s="44"/>
      <c r="R6402" s="44"/>
      <c r="S6402" s="44"/>
      <c r="T6402" s="44"/>
      <c r="U6402" s="44"/>
      <c r="V6402" s="44"/>
      <c r="W6402" s="44"/>
      <c r="X6402" s="44"/>
      <c r="Y6402" s="44"/>
    </row>
    <row r="6403" spans="14:25" ht="15" customHeight="1" x14ac:dyDescent="0.25">
      <c r="N6403" s="44"/>
      <c r="O6403" s="44"/>
      <c r="P6403" s="44"/>
      <c r="Q6403" s="44"/>
      <c r="R6403" s="44"/>
      <c r="S6403" s="44"/>
      <c r="T6403" s="44"/>
      <c r="U6403" s="44"/>
      <c r="V6403" s="44"/>
      <c r="W6403" s="44"/>
      <c r="X6403" s="44"/>
      <c r="Y6403" s="44"/>
    </row>
    <row r="6404" spans="14:25" ht="15" customHeight="1" x14ac:dyDescent="0.25">
      <c r="N6404" s="44"/>
      <c r="O6404" s="44"/>
      <c r="P6404" s="44"/>
      <c r="Q6404" s="44"/>
      <c r="R6404" s="44"/>
      <c r="S6404" s="44"/>
      <c r="T6404" s="44"/>
      <c r="U6404" s="44"/>
      <c r="V6404" s="44"/>
      <c r="W6404" s="44"/>
      <c r="X6404" s="44"/>
      <c r="Y6404" s="44"/>
    </row>
    <row r="6405" spans="14:25" ht="15" customHeight="1" x14ac:dyDescent="0.25">
      <c r="N6405" s="44"/>
      <c r="O6405" s="44"/>
      <c r="P6405" s="44"/>
      <c r="Q6405" s="44"/>
      <c r="R6405" s="44"/>
      <c r="S6405" s="44"/>
      <c r="T6405" s="44"/>
      <c r="U6405" s="44"/>
      <c r="V6405" s="44"/>
      <c r="W6405" s="44"/>
      <c r="X6405" s="44"/>
      <c r="Y6405" s="44"/>
    </row>
    <row r="6406" spans="14:25" ht="15" customHeight="1" x14ac:dyDescent="0.25">
      <c r="N6406" s="44"/>
      <c r="O6406" s="44"/>
      <c r="P6406" s="44"/>
      <c r="Q6406" s="44"/>
      <c r="R6406" s="44"/>
      <c r="S6406" s="44"/>
      <c r="T6406" s="44"/>
      <c r="U6406" s="44"/>
      <c r="V6406" s="44"/>
      <c r="W6406" s="44"/>
      <c r="X6406" s="44"/>
      <c r="Y6406" s="44"/>
    </row>
    <row r="6407" spans="14:25" ht="15" customHeight="1" x14ac:dyDescent="0.25">
      <c r="N6407" s="44"/>
      <c r="O6407" s="44"/>
      <c r="P6407" s="44"/>
      <c r="Q6407" s="44"/>
      <c r="R6407" s="44"/>
      <c r="S6407" s="44"/>
      <c r="T6407" s="44"/>
      <c r="U6407" s="44"/>
      <c r="V6407" s="44"/>
      <c r="W6407" s="44"/>
      <c r="X6407" s="44"/>
      <c r="Y6407" s="44"/>
    </row>
    <row r="6408" spans="14:25" ht="15" customHeight="1" x14ac:dyDescent="0.25">
      <c r="N6408" s="44"/>
      <c r="O6408" s="44"/>
      <c r="P6408" s="44"/>
      <c r="Q6408" s="44"/>
      <c r="R6408" s="44"/>
      <c r="S6408" s="44"/>
      <c r="T6408" s="44"/>
      <c r="U6408" s="44"/>
      <c r="V6408" s="44"/>
      <c r="W6408" s="44"/>
      <c r="X6408" s="44"/>
      <c r="Y6408" s="44"/>
    </row>
    <row r="6409" spans="14:25" ht="15" customHeight="1" x14ac:dyDescent="0.25">
      <c r="N6409" s="44"/>
      <c r="O6409" s="44"/>
      <c r="P6409" s="44"/>
      <c r="Q6409" s="44"/>
      <c r="R6409" s="44"/>
      <c r="S6409" s="44"/>
      <c r="T6409" s="44"/>
      <c r="U6409" s="44"/>
      <c r="V6409" s="44"/>
      <c r="W6409" s="44"/>
      <c r="X6409" s="44"/>
      <c r="Y6409" s="44"/>
    </row>
    <row r="6410" spans="14:25" ht="15" customHeight="1" x14ac:dyDescent="0.25">
      <c r="N6410" s="44"/>
      <c r="O6410" s="44"/>
      <c r="P6410" s="44"/>
      <c r="Q6410" s="44"/>
      <c r="R6410" s="44"/>
      <c r="S6410" s="44"/>
      <c r="T6410" s="44"/>
      <c r="U6410" s="44"/>
      <c r="V6410" s="44"/>
      <c r="W6410" s="44"/>
      <c r="X6410" s="44"/>
      <c r="Y6410" s="44"/>
    </row>
    <row r="6411" spans="14:25" ht="15" customHeight="1" x14ac:dyDescent="0.25">
      <c r="N6411" s="44"/>
      <c r="O6411" s="44"/>
      <c r="P6411" s="44"/>
      <c r="Q6411" s="44"/>
      <c r="R6411" s="44"/>
      <c r="S6411" s="44"/>
      <c r="T6411" s="44"/>
      <c r="U6411" s="44"/>
      <c r="V6411" s="44"/>
      <c r="W6411" s="44"/>
      <c r="X6411" s="44"/>
      <c r="Y6411" s="44"/>
    </row>
    <row r="6412" spans="14:25" ht="15" customHeight="1" x14ac:dyDescent="0.25">
      <c r="N6412" s="44"/>
      <c r="O6412" s="44"/>
      <c r="P6412" s="44"/>
      <c r="Q6412" s="44"/>
      <c r="R6412" s="44"/>
      <c r="S6412" s="44"/>
      <c r="T6412" s="44"/>
      <c r="U6412" s="44"/>
      <c r="V6412" s="44"/>
      <c r="W6412" s="44"/>
      <c r="X6412" s="44"/>
      <c r="Y6412" s="44"/>
    </row>
    <row r="6413" spans="14:25" ht="15" customHeight="1" x14ac:dyDescent="0.25">
      <c r="N6413" s="44"/>
      <c r="O6413" s="44"/>
      <c r="P6413" s="44"/>
      <c r="Q6413" s="44"/>
      <c r="R6413" s="44"/>
      <c r="S6413" s="44"/>
      <c r="T6413" s="44"/>
      <c r="U6413" s="44"/>
      <c r="V6413" s="44"/>
      <c r="W6413" s="44"/>
      <c r="X6413" s="44"/>
      <c r="Y6413" s="44"/>
    </row>
    <row r="6414" spans="14:25" ht="15" customHeight="1" x14ac:dyDescent="0.25">
      <c r="N6414" s="44"/>
      <c r="O6414" s="44"/>
      <c r="P6414" s="44"/>
      <c r="Q6414" s="44"/>
      <c r="R6414" s="44"/>
      <c r="S6414" s="44"/>
      <c r="T6414" s="44"/>
      <c r="U6414" s="44"/>
      <c r="V6414" s="44"/>
      <c r="W6414" s="44"/>
      <c r="X6414" s="44"/>
      <c r="Y6414" s="44"/>
    </row>
    <row r="6415" spans="14:25" ht="15" customHeight="1" x14ac:dyDescent="0.25">
      <c r="N6415" s="44"/>
      <c r="O6415" s="44"/>
      <c r="P6415" s="44"/>
      <c r="Q6415" s="44"/>
      <c r="R6415" s="44"/>
      <c r="S6415" s="44"/>
      <c r="T6415" s="44"/>
      <c r="U6415" s="44"/>
      <c r="V6415" s="44"/>
      <c r="W6415" s="44"/>
      <c r="X6415" s="44"/>
      <c r="Y6415" s="44"/>
    </row>
    <row r="6416" spans="14:25" ht="15" customHeight="1" x14ac:dyDescent="0.25">
      <c r="N6416" s="44"/>
      <c r="O6416" s="44"/>
      <c r="P6416" s="44"/>
      <c r="Q6416" s="44"/>
      <c r="R6416" s="44"/>
      <c r="S6416" s="44"/>
      <c r="T6416" s="44"/>
      <c r="U6416" s="44"/>
      <c r="V6416" s="44"/>
      <c r="W6416" s="44"/>
      <c r="X6416" s="44"/>
      <c r="Y6416" s="44"/>
    </row>
    <row r="6417" spans="14:25" ht="15" customHeight="1" x14ac:dyDescent="0.25">
      <c r="N6417" s="44"/>
      <c r="O6417" s="44"/>
      <c r="P6417" s="44"/>
      <c r="Q6417" s="44"/>
      <c r="R6417" s="44"/>
      <c r="S6417" s="44"/>
      <c r="T6417" s="44"/>
      <c r="U6417" s="44"/>
      <c r="V6417" s="44"/>
      <c r="W6417" s="44"/>
      <c r="X6417" s="44"/>
      <c r="Y6417" s="44"/>
    </row>
    <row r="6418" spans="14:25" ht="15" customHeight="1" x14ac:dyDescent="0.25">
      <c r="N6418" s="44"/>
      <c r="O6418" s="44"/>
      <c r="P6418" s="44"/>
      <c r="Q6418" s="44"/>
      <c r="R6418" s="44"/>
      <c r="S6418" s="44"/>
      <c r="T6418" s="44"/>
      <c r="U6418" s="44"/>
      <c r="V6418" s="44"/>
      <c r="W6418" s="44"/>
      <c r="X6418" s="44"/>
      <c r="Y6418" s="44"/>
    </row>
    <row r="6419" spans="14:25" ht="15" customHeight="1" x14ac:dyDescent="0.25">
      <c r="N6419" s="44"/>
      <c r="O6419" s="44"/>
      <c r="P6419" s="44"/>
      <c r="Q6419" s="44"/>
      <c r="R6419" s="44"/>
      <c r="S6419" s="44"/>
      <c r="T6419" s="44"/>
      <c r="U6419" s="44"/>
      <c r="V6419" s="44"/>
      <c r="W6419" s="44"/>
      <c r="X6419" s="44"/>
      <c r="Y6419" s="44"/>
    </row>
    <row r="6420" spans="14:25" ht="15" customHeight="1" x14ac:dyDescent="0.25">
      <c r="N6420" s="44"/>
      <c r="O6420" s="44"/>
      <c r="P6420" s="44"/>
      <c r="Q6420" s="44"/>
      <c r="R6420" s="44"/>
      <c r="S6420" s="44"/>
      <c r="T6420" s="44"/>
      <c r="U6420" s="44"/>
      <c r="V6420" s="44"/>
      <c r="W6420" s="44"/>
      <c r="X6420" s="44"/>
      <c r="Y6420" s="44"/>
    </row>
    <row r="6421" spans="14:25" ht="15" customHeight="1" x14ac:dyDescent="0.25">
      <c r="N6421" s="44"/>
      <c r="O6421" s="44"/>
      <c r="P6421" s="44"/>
      <c r="Q6421" s="44"/>
      <c r="R6421" s="44"/>
      <c r="S6421" s="44"/>
      <c r="T6421" s="44"/>
      <c r="U6421" s="44"/>
      <c r="V6421" s="44"/>
      <c r="W6421" s="44"/>
      <c r="X6421" s="44"/>
      <c r="Y6421" s="44"/>
    </row>
    <row r="6422" spans="14:25" ht="15" customHeight="1" x14ac:dyDescent="0.25">
      <c r="N6422" s="44"/>
      <c r="O6422" s="44"/>
      <c r="P6422" s="44"/>
      <c r="Q6422" s="44"/>
      <c r="R6422" s="44"/>
      <c r="S6422" s="44"/>
      <c r="T6422" s="44"/>
      <c r="U6422" s="44"/>
      <c r="V6422" s="44"/>
      <c r="W6422" s="44"/>
      <c r="X6422" s="44"/>
      <c r="Y6422" s="44"/>
    </row>
    <row r="6423" spans="14:25" ht="15" customHeight="1" x14ac:dyDescent="0.25">
      <c r="N6423" s="44"/>
      <c r="O6423" s="44"/>
      <c r="P6423" s="44"/>
      <c r="Q6423" s="44"/>
      <c r="R6423" s="44"/>
      <c r="S6423" s="44"/>
      <c r="T6423" s="44"/>
      <c r="U6423" s="44"/>
      <c r="V6423" s="44"/>
      <c r="W6423" s="44"/>
      <c r="X6423" s="44"/>
      <c r="Y6423" s="44"/>
    </row>
    <row r="6424" spans="14:25" ht="15" customHeight="1" x14ac:dyDescent="0.25">
      <c r="N6424" s="44"/>
      <c r="O6424" s="44"/>
      <c r="P6424" s="44"/>
      <c r="Q6424" s="44"/>
      <c r="R6424" s="44"/>
      <c r="S6424" s="44"/>
      <c r="T6424" s="44"/>
      <c r="U6424" s="44"/>
      <c r="V6424" s="44"/>
      <c r="W6424" s="44"/>
      <c r="X6424" s="44"/>
      <c r="Y6424" s="44"/>
    </row>
    <row r="6425" spans="14:25" ht="15" customHeight="1" x14ac:dyDescent="0.25">
      <c r="N6425" s="44"/>
      <c r="O6425" s="44"/>
      <c r="P6425" s="44"/>
      <c r="Q6425" s="44"/>
      <c r="R6425" s="44"/>
      <c r="S6425" s="44"/>
      <c r="T6425" s="44"/>
      <c r="U6425" s="44"/>
      <c r="V6425" s="44"/>
      <c r="W6425" s="44"/>
      <c r="X6425" s="44"/>
      <c r="Y6425" s="44"/>
    </row>
    <row r="6426" spans="14:25" ht="15" customHeight="1" x14ac:dyDescent="0.25">
      <c r="N6426" s="44"/>
      <c r="O6426" s="44"/>
      <c r="P6426" s="44"/>
      <c r="Q6426" s="44"/>
      <c r="R6426" s="44"/>
      <c r="S6426" s="44"/>
      <c r="T6426" s="44"/>
      <c r="U6426" s="44"/>
      <c r="V6426" s="44"/>
      <c r="W6426" s="44"/>
      <c r="X6426" s="44"/>
      <c r="Y6426" s="44"/>
    </row>
    <row r="6427" spans="14:25" ht="15" customHeight="1" x14ac:dyDescent="0.25">
      <c r="N6427" s="44"/>
      <c r="O6427" s="44"/>
      <c r="P6427" s="44"/>
      <c r="Q6427" s="44"/>
      <c r="R6427" s="44"/>
      <c r="S6427" s="44"/>
      <c r="T6427" s="44"/>
      <c r="U6427" s="44"/>
      <c r="V6427" s="44"/>
      <c r="W6427" s="44"/>
      <c r="X6427" s="44"/>
      <c r="Y6427" s="44"/>
    </row>
    <row r="6428" spans="14:25" ht="15" customHeight="1" x14ac:dyDescent="0.25">
      <c r="N6428" s="44"/>
      <c r="O6428" s="44"/>
      <c r="P6428" s="44"/>
      <c r="Q6428" s="44"/>
      <c r="R6428" s="44"/>
      <c r="S6428" s="44"/>
      <c r="T6428" s="44"/>
      <c r="U6428" s="44"/>
      <c r="V6428" s="44"/>
      <c r="W6428" s="44"/>
      <c r="X6428" s="44"/>
      <c r="Y6428" s="44"/>
    </row>
    <row r="6429" spans="14:25" ht="15" customHeight="1" x14ac:dyDescent="0.25">
      <c r="N6429" s="44"/>
      <c r="O6429" s="44"/>
      <c r="P6429" s="44"/>
      <c r="Q6429" s="44"/>
      <c r="R6429" s="44"/>
      <c r="S6429" s="44"/>
      <c r="T6429" s="44"/>
      <c r="U6429" s="44"/>
      <c r="V6429" s="44"/>
      <c r="W6429" s="44"/>
      <c r="X6429" s="44"/>
      <c r="Y6429" s="44"/>
    </row>
    <row r="6430" spans="14:25" ht="15" customHeight="1" x14ac:dyDescent="0.25">
      <c r="N6430" s="44"/>
      <c r="O6430" s="44"/>
      <c r="P6430" s="44"/>
      <c r="Q6430" s="44"/>
      <c r="R6430" s="44"/>
      <c r="S6430" s="44"/>
      <c r="T6430" s="44"/>
      <c r="U6430" s="44"/>
      <c r="V6430" s="44"/>
      <c r="W6430" s="44"/>
      <c r="X6430" s="44"/>
      <c r="Y6430" s="44"/>
    </row>
    <row r="6431" spans="14:25" ht="15" customHeight="1" x14ac:dyDescent="0.25">
      <c r="N6431" s="44"/>
      <c r="O6431" s="44"/>
      <c r="P6431" s="44"/>
      <c r="Q6431" s="44"/>
      <c r="R6431" s="44"/>
      <c r="S6431" s="44"/>
      <c r="T6431" s="44"/>
      <c r="U6431" s="44"/>
      <c r="V6431" s="44"/>
      <c r="W6431" s="44"/>
      <c r="X6431" s="44"/>
      <c r="Y6431" s="44"/>
    </row>
    <row r="6432" spans="14:25" ht="15" customHeight="1" x14ac:dyDescent="0.25">
      <c r="N6432" s="44"/>
      <c r="O6432" s="44"/>
      <c r="P6432" s="44"/>
      <c r="Q6432" s="44"/>
      <c r="R6432" s="44"/>
      <c r="S6432" s="44"/>
      <c r="T6432" s="44"/>
      <c r="U6432" s="44"/>
      <c r="V6432" s="44"/>
      <c r="W6432" s="44"/>
      <c r="X6432" s="44"/>
      <c r="Y6432" s="44"/>
    </row>
    <row r="6433" spans="14:25" ht="15" customHeight="1" x14ac:dyDescent="0.25">
      <c r="N6433" s="44"/>
      <c r="O6433" s="44"/>
      <c r="P6433" s="44"/>
      <c r="Q6433" s="44"/>
      <c r="R6433" s="44"/>
      <c r="S6433" s="44"/>
      <c r="T6433" s="44"/>
      <c r="U6433" s="44"/>
      <c r="V6433" s="44"/>
      <c r="W6433" s="44"/>
      <c r="X6433" s="44"/>
      <c r="Y6433" s="44"/>
    </row>
    <row r="6434" spans="14:25" ht="15" customHeight="1" x14ac:dyDescent="0.25">
      <c r="N6434" s="44"/>
      <c r="O6434" s="44"/>
      <c r="P6434" s="44"/>
      <c r="Q6434" s="44"/>
      <c r="R6434" s="44"/>
      <c r="S6434" s="44"/>
      <c r="T6434" s="44"/>
      <c r="U6434" s="44"/>
      <c r="V6434" s="44"/>
      <c r="W6434" s="44"/>
      <c r="X6434" s="44"/>
      <c r="Y6434" s="44"/>
    </row>
    <row r="6435" spans="14:25" ht="15" customHeight="1" x14ac:dyDescent="0.25">
      <c r="N6435" s="44"/>
      <c r="O6435" s="44"/>
      <c r="P6435" s="44"/>
      <c r="Q6435" s="44"/>
      <c r="R6435" s="44"/>
      <c r="S6435" s="44"/>
      <c r="T6435" s="44"/>
      <c r="U6435" s="44"/>
      <c r="V6435" s="44"/>
      <c r="W6435" s="44"/>
      <c r="X6435" s="44"/>
      <c r="Y6435" s="44"/>
    </row>
    <row r="6436" spans="14:25" ht="15" customHeight="1" x14ac:dyDescent="0.25">
      <c r="N6436" s="44"/>
      <c r="O6436" s="44"/>
      <c r="P6436" s="44"/>
      <c r="Q6436" s="44"/>
      <c r="R6436" s="44"/>
      <c r="S6436" s="44"/>
      <c r="T6436" s="44"/>
      <c r="U6436" s="44"/>
      <c r="V6436" s="44"/>
      <c r="W6436" s="44"/>
      <c r="X6436" s="44"/>
      <c r="Y6436" s="44"/>
    </row>
    <row r="6437" spans="14:25" ht="15" customHeight="1" x14ac:dyDescent="0.25">
      <c r="N6437" s="44"/>
      <c r="O6437" s="44"/>
      <c r="P6437" s="44"/>
      <c r="Q6437" s="44"/>
      <c r="R6437" s="44"/>
      <c r="S6437" s="44"/>
      <c r="T6437" s="44"/>
      <c r="U6437" s="44"/>
      <c r="V6437" s="44"/>
      <c r="W6437" s="44"/>
      <c r="X6437" s="44"/>
      <c r="Y6437" s="44"/>
    </row>
    <row r="6438" spans="14:25" ht="15" customHeight="1" x14ac:dyDescent="0.25">
      <c r="N6438" s="44"/>
      <c r="O6438" s="44"/>
      <c r="P6438" s="44"/>
      <c r="Q6438" s="44"/>
      <c r="R6438" s="44"/>
      <c r="S6438" s="44"/>
      <c r="T6438" s="44"/>
      <c r="U6438" s="44"/>
      <c r="V6438" s="44"/>
      <c r="W6438" s="44"/>
      <c r="X6438" s="44"/>
      <c r="Y6438" s="44"/>
    </row>
    <row r="6439" spans="14:25" ht="15" customHeight="1" x14ac:dyDescent="0.25">
      <c r="N6439" s="44"/>
      <c r="O6439" s="44"/>
      <c r="P6439" s="44"/>
      <c r="Q6439" s="44"/>
      <c r="R6439" s="44"/>
      <c r="S6439" s="44"/>
      <c r="T6439" s="44"/>
      <c r="U6439" s="44"/>
      <c r="V6439" s="44"/>
      <c r="W6439" s="44"/>
      <c r="X6439" s="44"/>
      <c r="Y6439" s="44"/>
    </row>
    <row r="6440" spans="14:25" ht="15" customHeight="1" x14ac:dyDescent="0.25">
      <c r="N6440" s="44"/>
      <c r="O6440" s="44"/>
      <c r="P6440" s="44"/>
      <c r="Q6440" s="44"/>
      <c r="R6440" s="44"/>
      <c r="S6440" s="44"/>
      <c r="T6440" s="44"/>
      <c r="U6440" s="44"/>
      <c r="V6440" s="44"/>
      <c r="W6440" s="44"/>
      <c r="X6440" s="44"/>
      <c r="Y6440" s="44"/>
    </row>
    <row r="6441" spans="14:25" ht="15" customHeight="1" x14ac:dyDescent="0.25">
      <c r="N6441" s="44"/>
      <c r="O6441" s="44"/>
      <c r="P6441" s="44"/>
      <c r="Q6441" s="44"/>
      <c r="R6441" s="44"/>
      <c r="S6441" s="44"/>
      <c r="T6441" s="44"/>
      <c r="U6441" s="44"/>
      <c r="V6441" s="44"/>
      <c r="W6441" s="44"/>
      <c r="X6441" s="44"/>
      <c r="Y6441" s="44"/>
    </row>
    <row r="6442" spans="14:25" ht="15" customHeight="1" x14ac:dyDescent="0.25">
      <c r="N6442" s="44"/>
      <c r="O6442" s="44"/>
      <c r="P6442" s="44"/>
      <c r="Q6442" s="44"/>
      <c r="R6442" s="44"/>
      <c r="S6442" s="44"/>
      <c r="T6442" s="44"/>
      <c r="U6442" s="44"/>
      <c r="V6442" s="44"/>
      <c r="W6442" s="44"/>
      <c r="X6442" s="44"/>
      <c r="Y6442" s="44"/>
    </row>
    <row r="6443" spans="14:25" ht="15" customHeight="1" x14ac:dyDescent="0.25">
      <c r="N6443" s="44"/>
      <c r="O6443" s="44"/>
      <c r="P6443" s="44"/>
      <c r="Q6443" s="44"/>
      <c r="R6443" s="44"/>
      <c r="S6443" s="44"/>
      <c r="T6443" s="44"/>
      <c r="U6443" s="44"/>
      <c r="V6443" s="44"/>
      <c r="W6443" s="44"/>
      <c r="X6443" s="44"/>
      <c r="Y6443" s="44"/>
    </row>
    <row r="6444" spans="14:25" ht="15" customHeight="1" x14ac:dyDescent="0.25">
      <c r="N6444" s="44"/>
      <c r="O6444" s="44"/>
      <c r="P6444" s="44"/>
      <c r="Q6444" s="44"/>
      <c r="R6444" s="44"/>
      <c r="S6444" s="44"/>
      <c r="T6444" s="44"/>
      <c r="U6444" s="44"/>
      <c r="V6444" s="44"/>
      <c r="W6444" s="44"/>
      <c r="X6444" s="44"/>
      <c r="Y6444" s="44"/>
    </row>
    <row r="6445" spans="14:25" ht="15" customHeight="1" x14ac:dyDescent="0.25">
      <c r="N6445" s="44"/>
      <c r="O6445" s="44"/>
      <c r="P6445" s="44"/>
      <c r="Q6445" s="44"/>
      <c r="R6445" s="44"/>
      <c r="S6445" s="44"/>
      <c r="T6445" s="44"/>
      <c r="U6445" s="44"/>
      <c r="V6445" s="44"/>
      <c r="W6445" s="44"/>
      <c r="X6445" s="44"/>
      <c r="Y6445" s="44"/>
    </row>
    <row r="6446" spans="14:25" ht="15" customHeight="1" x14ac:dyDescent="0.25">
      <c r="N6446" s="44"/>
      <c r="O6446" s="44"/>
      <c r="P6446" s="44"/>
      <c r="Q6446" s="44"/>
      <c r="R6446" s="44"/>
      <c r="S6446" s="44"/>
      <c r="T6446" s="44"/>
      <c r="U6446" s="44"/>
      <c r="V6446" s="44"/>
      <c r="W6446" s="44"/>
      <c r="X6446" s="44"/>
      <c r="Y6446" s="44"/>
    </row>
    <row r="6447" spans="14:25" ht="15" customHeight="1" x14ac:dyDescent="0.25">
      <c r="N6447" s="44"/>
      <c r="O6447" s="44"/>
      <c r="P6447" s="44"/>
      <c r="Q6447" s="44"/>
      <c r="R6447" s="44"/>
      <c r="S6447" s="44"/>
      <c r="T6447" s="44"/>
      <c r="U6447" s="44"/>
      <c r="V6447" s="44"/>
      <c r="W6447" s="44"/>
      <c r="X6447" s="44"/>
      <c r="Y6447" s="44"/>
    </row>
    <row r="6448" spans="14:25" ht="15" customHeight="1" x14ac:dyDescent="0.25">
      <c r="N6448" s="44"/>
      <c r="O6448" s="44"/>
      <c r="P6448" s="44"/>
      <c r="Q6448" s="44"/>
      <c r="R6448" s="44"/>
      <c r="S6448" s="44"/>
      <c r="T6448" s="44"/>
      <c r="U6448" s="44"/>
      <c r="V6448" s="44"/>
      <c r="W6448" s="44"/>
      <c r="X6448" s="44"/>
      <c r="Y6448" s="44"/>
    </row>
    <row r="6449" spans="14:25" ht="15" customHeight="1" x14ac:dyDescent="0.25">
      <c r="N6449" s="44"/>
      <c r="O6449" s="44"/>
      <c r="P6449" s="44"/>
      <c r="Q6449" s="44"/>
      <c r="R6449" s="44"/>
      <c r="S6449" s="44"/>
      <c r="T6449" s="44"/>
      <c r="U6449" s="44"/>
      <c r="V6449" s="44"/>
      <c r="W6449" s="44"/>
      <c r="X6449" s="44"/>
      <c r="Y6449" s="44"/>
    </row>
    <row r="6450" spans="14:25" ht="15" customHeight="1" x14ac:dyDescent="0.25">
      <c r="N6450" s="44"/>
      <c r="O6450" s="44"/>
      <c r="P6450" s="44"/>
      <c r="Q6450" s="44"/>
      <c r="R6450" s="44"/>
      <c r="S6450" s="44"/>
      <c r="T6450" s="44"/>
      <c r="U6450" s="44"/>
      <c r="V6450" s="44"/>
      <c r="W6450" s="44"/>
      <c r="X6450" s="44"/>
      <c r="Y6450" s="44"/>
    </row>
    <row r="6451" spans="14:25" ht="15" customHeight="1" x14ac:dyDescent="0.25">
      <c r="N6451" s="44"/>
      <c r="O6451" s="44"/>
      <c r="P6451" s="44"/>
      <c r="Q6451" s="44"/>
      <c r="R6451" s="44"/>
      <c r="S6451" s="44"/>
      <c r="T6451" s="44"/>
      <c r="U6451" s="44"/>
      <c r="V6451" s="44"/>
      <c r="W6451" s="44"/>
      <c r="X6451" s="44"/>
      <c r="Y6451" s="44"/>
    </row>
    <row r="6452" spans="14:25" ht="15" customHeight="1" x14ac:dyDescent="0.25">
      <c r="N6452" s="44"/>
      <c r="O6452" s="44"/>
      <c r="P6452" s="44"/>
      <c r="Q6452" s="44"/>
      <c r="R6452" s="44"/>
      <c r="S6452" s="44"/>
      <c r="T6452" s="44"/>
      <c r="U6452" s="44"/>
      <c r="V6452" s="44"/>
      <c r="W6452" s="44"/>
      <c r="X6452" s="44"/>
      <c r="Y6452" s="44"/>
    </row>
    <row r="6453" spans="14:25" ht="15" customHeight="1" x14ac:dyDescent="0.25">
      <c r="N6453" s="44"/>
      <c r="O6453" s="44"/>
      <c r="P6453" s="44"/>
      <c r="Q6453" s="44"/>
      <c r="R6453" s="44"/>
      <c r="S6453" s="44"/>
      <c r="T6453" s="44"/>
      <c r="U6453" s="44"/>
      <c r="V6453" s="44"/>
      <c r="W6453" s="44"/>
      <c r="X6453" s="44"/>
      <c r="Y6453" s="44"/>
    </row>
    <row r="6454" spans="14:25" ht="15" customHeight="1" x14ac:dyDescent="0.25">
      <c r="N6454" s="44"/>
      <c r="O6454" s="44"/>
      <c r="P6454" s="44"/>
      <c r="Q6454" s="44"/>
      <c r="R6454" s="44"/>
      <c r="S6454" s="44"/>
      <c r="T6454" s="44"/>
      <c r="U6454" s="44"/>
      <c r="V6454" s="44"/>
      <c r="W6454" s="44"/>
      <c r="X6454" s="44"/>
      <c r="Y6454" s="44"/>
    </row>
    <row r="6455" spans="14:25" ht="15" customHeight="1" x14ac:dyDescent="0.25">
      <c r="N6455" s="44"/>
      <c r="O6455" s="44"/>
      <c r="P6455" s="44"/>
      <c r="Q6455" s="44"/>
      <c r="R6455" s="44"/>
      <c r="S6455" s="44"/>
      <c r="T6455" s="44"/>
      <c r="U6455" s="44"/>
      <c r="V6455" s="44"/>
      <c r="W6455" s="44"/>
      <c r="X6455" s="44"/>
      <c r="Y6455" s="44"/>
    </row>
    <row r="6456" spans="14:25" ht="15" customHeight="1" x14ac:dyDescent="0.25">
      <c r="N6456" s="44"/>
      <c r="O6456" s="44"/>
      <c r="P6456" s="44"/>
      <c r="Q6456" s="44"/>
      <c r="R6456" s="44"/>
      <c r="S6456" s="44"/>
      <c r="T6456" s="44"/>
      <c r="U6456" s="44"/>
      <c r="V6456" s="44"/>
      <c r="W6456" s="44"/>
      <c r="X6456" s="44"/>
      <c r="Y6456" s="44"/>
    </row>
    <row r="6457" spans="14:25" ht="15" customHeight="1" x14ac:dyDescent="0.25">
      <c r="N6457" s="44"/>
      <c r="O6457" s="44"/>
      <c r="P6457" s="44"/>
      <c r="Q6457" s="44"/>
      <c r="R6457" s="44"/>
      <c r="S6457" s="44"/>
      <c r="T6457" s="44"/>
      <c r="U6457" s="44"/>
      <c r="V6457" s="44"/>
      <c r="W6457" s="44"/>
      <c r="X6457" s="44"/>
      <c r="Y6457" s="44"/>
    </row>
    <row r="6458" spans="14:25" ht="15" customHeight="1" x14ac:dyDescent="0.25">
      <c r="N6458" s="44"/>
      <c r="O6458" s="44"/>
      <c r="P6458" s="44"/>
      <c r="Q6458" s="44"/>
      <c r="R6458" s="44"/>
      <c r="S6458" s="44"/>
      <c r="T6458" s="44"/>
      <c r="U6458" s="44"/>
      <c r="V6458" s="44"/>
      <c r="W6458" s="44"/>
      <c r="X6458" s="44"/>
      <c r="Y6458" s="44"/>
    </row>
    <row r="6459" spans="14:25" ht="15" customHeight="1" x14ac:dyDescent="0.25">
      <c r="N6459" s="44"/>
      <c r="O6459" s="44"/>
      <c r="P6459" s="44"/>
      <c r="Q6459" s="44"/>
      <c r="R6459" s="44"/>
      <c r="S6459" s="44"/>
      <c r="T6459" s="44"/>
      <c r="U6459" s="44"/>
      <c r="V6459" s="44"/>
      <c r="W6459" s="44"/>
      <c r="X6459" s="44"/>
      <c r="Y6459" s="44"/>
    </row>
    <row r="6460" spans="14:25" ht="15" customHeight="1" x14ac:dyDescent="0.25">
      <c r="N6460" s="44"/>
      <c r="O6460" s="44"/>
      <c r="P6460" s="44"/>
      <c r="Q6460" s="44"/>
      <c r="R6460" s="44"/>
      <c r="S6460" s="44"/>
      <c r="T6460" s="44"/>
      <c r="U6460" s="44"/>
      <c r="V6460" s="44"/>
      <c r="W6460" s="44"/>
      <c r="X6460" s="44"/>
      <c r="Y6460" s="44"/>
    </row>
    <row r="6461" spans="14:25" ht="15" customHeight="1" x14ac:dyDescent="0.25">
      <c r="N6461" s="44"/>
      <c r="O6461" s="44"/>
      <c r="P6461" s="44"/>
      <c r="Q6461" s="44"/>
      <c r="R6461" s="44"/>
      <c r="S6461" s="44"/>
      <c r="T6461" s="44"/>
      <c r="U6461" s="44"/>
      <c r="V6461" s="44"/>
      <c r="W6461" s="44"/>
      <c r="X6461" s="44"/>
      <c r="Y6461" s="44"/>
    </row>
    <row r="6462" spans="14:25" ht="15" customHeight="1" x14ac:dyDescent="0.25">
      <c r="N6462" s="44"/>
      <c r="O6462" s="44"/>
      <c r="P6462" s="44"/>
      <c r="Q6462" s="44"/>
      <c r="R6462" s="44"/>
      <c r="S6462" s="44"/>
      <c r="T6462" s="44"/>
      <c r="U6462" s="44"/>
      <c r="V6462" s="44"/>
      <c r="W6462" s="44"/>
      <c r="X6462" s="44"/>
      <c r="Y6462" s="44"/>
    </row>
    <row r="6463" spans="14:25" ht="15" customHeight="1" x14ac:dyDescent="0.25">
      <c r="N6463" s="44"/>
      <c r="O6463" s="44"/>
      <c r="P6463" s="44"/>
      <c r="Q6463" s="44"/>
      <c r="R6463" s="44"/>
      <c r="S6463" s="44"/>
      <c r="T6463" s="44"/>
      <c r="U6463" s="44"/>
      <c r="V6463" s="44"/>
      <c r="W6463" s="44"/>
      <c r="X6463" s="44"/>
      <c r="Y6463" s="44"/>
    </row>
    <row r="6464" spans="14:25" ht="15" customHeight="1" x14ac:dyDescent="0.25">
      <c r="N6464" s="44"/>
      <c r="O6464" s="44"/>
      <c r="P6464" s="44"/>
      <c r="Q6464" s="44"/>
      <c r="R6464" s="44"/>
      <c r="S6464" s="44"/>
      <c r="T6464" s="44"/>
      <c r="U6464" s="44"/>
      <c r="V6464" s="44"/>
      <c r="W6464" s="44"/>
      <c r="X6464" s="44"/>
      <c r="Y6464" s="44"/>
    </row>
    <row r="6465" spans="14:25" ht="15" customHeight="1" x14ac:dyDescent="0.25">
      <c r="N6465" s="44"/>
      <c r="O6465" s="44"/>
      <c r="P6465" s="44"/>
      <c r="Q6465" s="44"/>
      <c r="R6465" s="44"/>
      <c r="S6465" s="44"/>
      <c r="T6465" s="44"/>
      <c r="U6465" s="44"/>
      <c r="V6465" s="44"/>
      <c r="W6465" s="44"/>
      <c r="X6465" s="44"/>
      <c r="Y6465" s="44"/>
    </row>
    <row r="6466" spans="14:25" ht="15" customHeight="1" x14ac:dyDescent="0.25">
      <c r="N6466" s="44"/>
      <c r="O6466" s="44"/>
      <c r="P6466" s="44"/>
      <c r="Q6466" s="44"/>
      <c r="R6466" s="44"/>
      <c r="S6466" s="44"/>
      <c r="T6466" s="44"/>
      <c r="U6466" s="44"/>
      <c r="V6466" s="44"/>
      <c r="W6466" s="44"/>
      <c r="X6466" s="44"/>
      <c r="Y6466" s="44"/>
    </row>
    <row r="6467" spans="14:25" ht="15" customHeight="1" x14ac:dyDescent="0.25">
      <c r="N6467" s="44"/>
      <c r="O6467" s="44"/>
      <c r="P6467" s="44"/>
      <c r="Q6467" s="44"/>
      <c r="R6467" s="44"/>
      <c r="S6467" s="44"/>
      <c r="T6467" s="44"/>
      <c r="U6467" s="44"/>
      <c r="V6467" s="44"/>
      <c r="W6467" s="44"/>
      <c r="X6467" s="44"/>
      <c r="Y6467" s="44"/>
    </row>
    <row r="6468" spans="14:25" ht="15" customHeight="1" x14ac:dyDescent="0.25">
      <c r="N6468" s="44"/>
      <c r="O6468" s="44"/>
      <c r="P6468" s="44"/>
      <c r="Q6468" s="44"/>
      <c r="R6468" s="44"/>
      <c r="S6468" s="44"/>
      <c r="T6468" s="44"/>
      <c r="U6468" s="44"/>
      <c r="V6468" s="44"/>
      <c r="W6468" s="44"/>
      <c r="X6468" s="44"/>
      <c r="Y6468" s="44"/>
    </row>
    <row r="6469" spans="14:25" ht="15" customHeight="1" x14ac:dyDescent="0.25">
      <c r="N6469" s="44"/>
      <c r="O6469" s="44"/>
      <c r="P6469" s="44"/>
      <c r="Q6469" s="44"/>
      <c r="R6469" s="44"/>
      <c r="S6469" s="44"/>
      <c r="T6469" s="44"/>
      <c r="U6469" s="44"/>
      <c r="V6469" s="44"/>
      <c r="W6469" s="44"/>
      <c r="X6469" s="44"/>
      <c r="Y6469" s="44"/>
    </row>
    <row r="6470" spans="14:25" ht="15" customHeight="1" x14ac:dyDescent="0.25">
      <c r="N6470" s="44"/>
      <c r="O6470" s="44"/>
      <c r="P6470" s="44"/>
      <c r="Q6470" s="44"/>
      <c r="R6470" s="44"/>
      <c r="S6470" s="44"/>
      <c r="T6470" s="44"/>
      <c r="U6470" s="44"/>
      <c r="V6470" s="44"/>
      <c r="W6470" s="44"/>
      <c r="X6470" s="44"/>
      <c r="Y6470" s="44"/>
    </row>
    <row r="6471" spans="14:25" ht="15" customHeight="1" x14ac:dyDescent="0.25">
      <c r="N6471" s="44"/>
      <c r="O6471" s="44"/>
      <c r="P6471" s="44"/>
      <c r="Q6471" s="44"/>
      <c r="R6471" s="44"/>
      <c r="S6471" s="44"/>
      <c r="T6471" s="44"/>
      <c r="U6471" s="44"/>
      <c r="V6471" s="44"/>
      <c r="W6471" s="44"/>
      <c r="X6471" s="44"/>
      <c r="Y6471" s="44"/>
    </row>
    <row r="6472" spans="14:25" ht="15" customHeight="1" x14ac:dyDescent="0.25">
      <c r="N6472" s="44"/>
      <c r="O6472" s="44"/>
      <c r="P6472" s="44"/>
      <c r="Q6472" s="44"/>
      <c r="R6472" s="44"/>
      <c r="S6472" s="44"/>
      <c r="T6472" s="44"/>
      <c r="U6472" s="44"/>
      <c r="V6472" s="44"/>
      <c r="W6472" s="44"/>
      <c r="X6472" s="44"/>
      <c r="Y6472" s="44"/>
    </row>
    <row r="6473" spans="14:25" ht="15" customHeight="1" x14ac:dyDescent="0.25">
      <c r="N6473" s="44"/>
      <c r="O6473" s="44"/>
      <c r="P6473" s="44"/>
      <c r="Q6473" s="44"/>
      <c r="R6473" s="44"/>
      <c r="S6473" s="44"/>
      <c r="T6473" s="44"/>
      <c r="U6473" s="44"/>
      <c r="V6473" s="44"/>
      <c r="W6473" s="44"/>
      <c r="X6473" s="44"/>
      <c r="Y6473" s="44"/>
    </row>
    <row r="6474" spans="14:25" ht="15" customHeight="1" x14ac:dyDescent="0.25">
      <c r="N6474" s="44"/>
      <c r="O6474" s="44"/>
      <c r="P6474" s="44"/>
      <c r="Q6474" s="44"/>
      <c r="R6474" s="44"/>
      <c r="S6474" s="44"/>
      <c r="T6474" s="44"/>
      <c r="U6474" s="44"/>
      <c r="V6474" s="44"/>
      <c r="W6474" s="44"/>
      <c r="X6474" s="44"/>
      <c r="Y6474" s="44"/>
    </row>
    <row r="6475" spans="14:25" ht="15" customHeight="1" x14ac:dyDescent="0.25">
      <c r="N6475" s="44"/>
      <c r="O6475" s="44"/>
      <c r="P6475" s="44"/>
      <c r="Q6475" s="44"/>
      <c r="R6475" s="44"/>
      <c r="S6475" s="44"/>
      <c r="T6475" s="44"/>
      <c r="U6475" s="44"/>
      <c r="V6475" s="44"/>
      <c r="W6475" s="44"/>
      <c r="X6475" s="44"/>
      <c r="Y6475" s="44"/>
    </row>
    <row r="6476" spans="14:25" ht="15" customHeight="1" x14ac:dyDescent="0.25">
      <c r="N6476" s="44"/>
      <c r="O6476" s="44"/>
      <c r="P6476" s="44"/>
      <c r="Q6476" s="44"/>
      <c r="R6476" s="44"/>
      <c r="S6476" s="44"/>
      <c r="T6476" s="44"/>
      <c r="U6476" s="44"/>
      <c r="V6476" s="44"/>
      <c r="W6476" s="44"/>
      <c r="X6476" s="44"/>
      <c r="Y6476" s="44"/>
    </row>
    <row r="6477" spans="14:25" ht="15" customHeight="1" x14ac:dyDescent="0.25">
      <c r="N6477" s="44"/>
      <c r="O6477" s="44"/>
      <c r="P6477" s="44"/>
      <c r="Q6477" s="44"/>
      <c r="R6477" s="44"/>
      <c r="S6477" s="44"/>
      <c r="T6477" s="44"/>
      <c r="U6477" s="44"/>
      <c r="V6477" s="44"/>
      <c r="W6477" s="44"/>
      <c r="X6477" s="44"/>
      <c r="Y6477" s="44"/>
    </row>
    <row r="6478" spans="14:25" ht="15" customHeight="1" x14ac:dyDescent="0.25">
      <c r="N6478" s="44"/>
      <c r="O6478" s="44"/>
      <c r="P6478" s="44"/>
      <c r="Q6478" s="44"/>
      <c r="R6478" s="44"/>
      <c r="S6478" s="44"/>
      <c r="T6478" s="44"/>
      <c r="U6478" s="44"/>
      <c r="V6478" s="44"/>
      <c r="W6478" s="44"/>
      <c r="X6478" s="44"/>
      <c r="Y6478" s="44"/>
    </row>
    <row r="6479" spans="14:25" ht="15" customHeight="1" x14ac:dyDescent="0.25">
      <c r="N6479" s="44"/>
      <c r="O6479" s="44"/>
      <c r="P6479" s="44"/>
      <c r="Q6479" s="44"/>
      <c r="R6479" s="44"/>
      <c r="S6479" s="44"/>
      <c r="T6479" s="44"/>
      <c r="U6479" s="44"/>
      <c r="V6479" s="44"/>
      <c r="W6479" s="44"/>
      <c r="X6479" s="44"/>
      <c r="Y6479" s="44"/>
    </row>
    <row r="6480" spans="14:25" ht="15" customHeight="1" x14ac:dyDescent="0.25">
      <c r="N6480" s="44"/>
      <c r="O6480" s="44"/>
      <c r="P6480" s="44"/>
      <c r="Q6480" s="44"/>
      <c r="R6480" s="44"/>
      <c r="S6480" s="44"/>
      <c r="T6480" s="44"/>
      <c r="U6480" s="44"/>
      <c r="V6480" s="44"/>
      <c r="W6480" s="44"/>
      <c r="X6480" s="44"/>
      <c r="Y6480" s="44"/>
    </row>
    <row r="6481" spans="14:25" ht="15" customHeight="1" x14ac:dyDescent="0.25">
      <c r="N6481" s="44"/>
      <c r="O6481" s="44"/>
      <c r="P6481" s="44"/>
      <c r="Q6481" s="44"/>
      <c r="R6481" s="44"/>
      <c r="S6481" s="44"/>
      <c r="T6481" s="44"/>
      <c r="U6481" s="44"/>
      <c r="V6481" s="44"/>
      <c r="W6481" s="44"/>
      <c r="X6481" s="44"/>
      <c r="Y6481" s="44"/>
    </row>
    <row r="6482" spans="14:25" ht="15" customHeight="1" x14ac:dyDescent="0.25">
      <c r="N6482" s="44"/>
      <c r="O6482" s="44"/>
      <c r="P6482" s="44"/>
      <c r="Q6482" s="44"/>
      <c r="R6482" s="44"/>
      <c r="S6482" s="44"/>
      <c r="T6482" s="44"/>
      <c r="U6482" s="44"/>
      <c r="V6482" s="44"/>
      <c r="W6482" s="44"/>
      <c r="X6482" s="44"/>
      <c r="Y6482" s="44"/>
    </row>
    <row r="6483" spans="14:25" ht="15" customHeight="1" x14ac:dyDescent="0.25">
      <c r="N6483" s="44"/>
      <c r="O6483" s="44"/>
      <c r="P6483" s="44"/>
      <c r="Q6483" s="44"/>
      <c r="R6483" s="44"/>
      <c r="S6483" s="44"/>
      <c r="T6483" s="44"/>
      <c r="U6483" s="44"/>
      <c r="V6483" s="44"/>
      <c r="W6483" s="44"/>
      <c r="X6483" s="44"/>
      <c r="Y6483" s="44"/>
    </row>
    <row r="6484" spans="14:25" ht="15" customHeight="1" x14ac:dyDescent="0.25">
      <c r="N6484" s="44"/>
      <c r="O6484" s="44"/>
      <c r="P6484" s="44"/>
      <c r="Q6484" s="44"/>
      <c r="R6484" s="44"/>
      <c r="S6484" s="44"/>
      <c r="T6484" s="44"/>
      <c r="U6484" s="44"/>
      <c r="V6484" s="44"/>
      <c r="W6484" s="44"/>
      <c r="X6484" s="44"/>
      <c r="Y6484" s="44"/>
    </row>
    <row r="6485" spans="14:25" ht="15" customHeight="1" x14ac:dyDescent="0.25">
      <c r="N6485" s="44"/>
      <c r="O6485" s="44"/>
      <c r="P6485" s="44"/>
      <c r="Q6485" s="44"/>
      <c r="R6485" s="44"/>
      <c r="S6485" s="44"/>
      <c r="T6485" s="44"/>
      <c r="U6485" s="44"/>
      <c r="V6485" s="44"/>
      <c r="W6485" s="44"/>
      <c r="X6485" s="44"/>
      <c r="Y6485" s="44"/>
    </row>
    <row r="6486" spans="14:25" ht="15" customHeight="1" x14ac:dyDescent="0.25">
      <c r="N6486" s="44"/>
      <c r="O6486" s="44"/>
      <c r="P6486" s="44"/>
      <c r="Q6486" s="44"/>
      <c r="R6486" s="44"/>
      <c r="S6486" s="44"/>
      <c r="T6486" s="44"/>
      <c r="U6486" s="44"/>
      <c r="V6486" s="44"/>
      <c r="W6486" s="44"/>
      <c r="X6486" s="44"/>
      <c r="Y6486" s="44"/>
    </row>
    <row r="6487" spans="14:25" ht="15" customHeight="1" x14ac:dyDescent="0.25">
      <c r="N6487" s="44"/>
      <c r="O6487" s="44"/>
      <c r="P6487" s="44"/>
      <c r="Q6487" s="44"/>
      <c r="R6487" s="44"/>
      <c r="S6487" s="44"/>
      <c r="T6487" s="44"/>
      <c r="U6487" s="44"/>
      <c r="V6487" s="44"/>
      <c r="W6487" s="44"/>
      <c r="X6487" s="44"/>
      <c r="Y6487" s="44"/>
    </row>
    <row r="6488" spans="14:25" ht="15" customHeight="1" x14ac:dyDescent="0.25">
      <c r="N6488" s="44"/>
      <c r="O6488" s="44"/>
      <c r="P6488" s="44"/>
      <c r="Q6488" s="44"/>
      <c r="R6488" s="44"/>
      <c r="S6488" s="44"/>
      <c r="T6488" s="44"/>
      <c r="U6488" s="44"/>
      <c r="V6488" s="44"/>
      <c r="W6488" s="44"/>
      <c r="X6488" s="44"/>
      <c r="Y6488" s="44"/>
    </row>
    <row r="6489" spans="14:25" ht="15" customHeight="1" x14ac:dyDescent="0.25">
      <c r="N6489" s="44"/>
      <c r="O6489" s="44"/>
      <c r="P6489" s="44"/>
      <c r="Q6489" s="44"/>
      <c r="R6489" s="44"/>
      <c r="S6489" s="44"/>
      <c r="T6489" s="44"/>
      <c r="U6489" s="44"/>
      <c r="V6489" s="44"/>
      <c r="W6489" s="44"/>
      <c r="X6489" s="44"/>
      <c r="Y6489" s="44"/>
    </row>
    <row r="6490" spans="14:25" ht="15" customHeight="1" x14ac:dyDescent="0.25">
      <c r="N6490" s="44"/>
      <c r="O6490" s="44"/>
      <c r="P6490" s="44"/>
      <c r="Q6490" s="44"/>
      <c r="R6490" s="44"/>
      <c r="S6490" s="44"/>
      <c r="T6490" s="44"/>
      <c r="U6490" s="44"/>
      <c r="V6490" s="44"/>
      <c r="W6490" s="44"/>
      <c r="X6490" s="44"/>
      <c r="Y6490" s="44"/>
    </row>
    <row r="6491" spans="14:25" ht="15" customHeight="1" x14ac:dyDescent="0.25">
      <c r="N6491" s="44"/>
      <c r="O6491" s="44"/>
      <c r="P6491" s="44"/>
      <c r="Q6491" s="44"/>
      <c r="R6491" s="44"/>
      <c r="S6491" s="44"/>
      <c r="T6491" s="44"/>
      <c r="U6491" s="44"/>
      <c r="V6491" s="44"/>
      <c r="W6491" s="44"/>
      <c r="X6491" s="44"/>
      <c r="Y6491" s="44"/>
    </row>
    <row r="6492" spans="14:25" ht="15" customHeight="1" x14ac:dyDescent="0.25">
      <c r="N6492" s="44"/>
      <c r="O6492" s="44"/>
      <c r="P6492" s="44"/>
      <c r="Q6492" s="44"/>
      <c r="R6492" s="44"/>
      <c r="S6492" s="44"/>
      <c r="T6492" s="44"/>
      <c r="U6492" s="44"/>
      <c r="V6492" s="44"/>
      <c r="W6492" s="44"/>
      <c r="X6492" s="44"/>
      <c r="Y6492" s="44"/>
    </row>
    <row r="6493" spans="14:25" ht="15" customHeight="1" x14ac:dyDescent="0.25">
      <c r="N6493" s="44"/>
      <c r="O6493" s="44"/>
      <c r="P6493" s="44"/>
      <c r="Q6493" s="44"/>
      <c r="R6493" s="44"/>
      <c r="S6493" s="44"/>
      <c r="T6493" s="44"/>
      <c r="U6493" s="44"/>
      <c r="V6493" s="44"/>
      <c r="W6493" s="44"/>
      <c r="X6493" s="44"/>
      <c r="Y6493" s="44"/>
    </row>
    <row r="6494" spans="14:25" ht="15" customHeight="1" x14ac:dyDescent="0.25">
      <c r="N6494" s="44"/>
      <c r="O6494" s="44"/>
      <c r="P6494" s="44"/>
      <c r="Q6494" s="44"/>
      <c r="R6494" s="44"/>
      <c r="S6494" s="44"/>
      <c r="T6494" s="44"/>
      <c r="U6494" s="44"/>
      <c r="V6494" s="44"/>
      <c r="W6494" s="44"/>
      <c r="X6494" s="44"/>
      <c r="Y6494" s="44"/>
    </row>
    <row r="6495" spans="14:25" ht="15" customHeight="1" x14ac:dyDescent="0.25">
      <c r="N6495" s="44"/>
      <c r="O6495" s="44"/>
      <c r="P6495" s="44"/>
      <c r="Q6495" s="44"/>
      <c r="R6495" s="44"/>
      <c r="S6495" s="44"/>
      <c r="T6495" s="44"/>
      <c r="U6495" s="44"/>
      <c r="V6495" s="44"/>
      <c r="W6495" s="44"/>
      <c r="X6495" s="44"/>
      <c r="Y6495" s="44"/>
    </row>
    <row r="6496" spans="14:25" ht="15" customHeight="1" x14ac:dyDescent="0.25">
      <c r="N6496" s="44"/>
      <c r="O6496" s="44"/>
      <c r="P6496" s="44"/>
      <c r="Q6496" s="44"/>
      <c r="R6496" s="44"/>
      <c r="S6496" s="44"/>
      <c r="T6496" s="44"/>
      <c r="U6496" s="44"/>
      <c r="V6496" s="44"/>
      <c r="W6496" s="44"/>
      <c r="X6496" s="44"/>
      <c r="Y6496" s="44"/>
    </row>
    <row r="6497" spans="14:25" ht="15" customHeight="1" x14ac:dyDescent="0.25">
      <c r="N6497" s="44"/>
      <c r="O6497" s="44"/>
      <c r="P6497" s="44"/>
      <c r="Q6497" s="44"/>
      <c r="R6497" s="44"/>
      <c r="S6497" s="44"/>
      <c r="T6497" s="44"/>
      <c r="U6497" s="44"/>
      <c r="V6497" s="44"/>
      <c r="W6497" s="44"/>
      <c r="X6497" s="44"/>
      <c r="Y6497" s="44"/>
    </row>
    <row r="6498" spans="14:25" ht="15" customHeight="1" x14ac:dyDescent="0.25">
      <c r="N6498" s="44"/>
      <c r="O6498" s="44"/>
      <c r="P6498" s="44"/>
      <c r="Q6498" s="44"/>
      <c r="R6498" s="44"/>
      <c r="S6498" s="44"/>
      <c r="T6498" s="44"/>
      <c r="U6498" s="44"/>
      <c r="V6498" s="44"/>
      <c r="W6498" s="44"/>
      <c r="X6498" s="44"/>
      <c r="Y6498" s="44"/>
    </row>
    <row r="6499" spans="14:25" ht="15" customHeight="1" x14ac:dyDescent="0.25">
      <c r="N6499" s="44"/>
      <c r="O6499" s="44"/>
      <c r="P6499" s="44"/>
      <c r="Q6499" s="44"/>
      <c r="R6499" s="44"/>
      <c r="S6499" s="44"/>
      <c r="T6499" s="44"/>
      <c r="U6499" s="44"/>
      <c r="V6499" s="44"/>
      <c r="W6499" s="44"/>
      <c r="X6499" s="44"/>
      <c r="Y6499" s="44"/>
    </row>
    <row r="6500" spans="14:25" ht="15" customHeight="1" x14ac:dyDescent="0.25">
      <c r="N6500" s="44"/>
      <c r="O6500" s="44"/>
      <c r="P6500" s="44"/>
      <c r="Q6500" s="44"/>
      <c r="R6500" s="44"/>
      <c r="S6500" s="44"/>
      <c r="T6500" s="44"/>
      <c r="U6500" s="44"/>
      <c r="V6500" s="44"/>
      <c r="W6500" s="44"/>
      <c r="X6500" s="44"/>
      <c r="Y6500" s="44"/>
    </row>
    <row r="6501" spans="14:25" ht="15" customHeight="1" x14ac:dyDescent="0.25">
      <c r="N6501" s="44"/>
      <c r="O6501" s="44"/>
      <c r="P6501" s="44"/>
      <c r="Q6501" s="44"/>
      <c r="R6501" s="44"/>
      <c r="S6501" s="44"/>
      <c r="T6501" s="44"/>
      <c r="U6501" s="44"/>
      <c r="V6501" s="44"/>
      <c r="W6501" s="44"/>
      <c r="X6501" s="44"/>
      <c r="Y6501" s="44"/>
    </row>
    <row r="6502" spans="14:25" ht="15" customHeight="1" x14ac:dyDescent="0.25">
      <c r="N6502" s="44"/>
      <c r="O6502" s="44"/>
      <c r="P6502" s="44"/>
      <c r="Q6502" s="44"/>
      <c r="R6502" s="44"/>
      <c r="S6502" s="44"/>
      <c r="T6502" s="44"/>
      <c r="U6502" s="44"/>
      <c r="V6502" s="44"/>
      <c r="W6502" s="44"/>
      <c r="X6502" s="44"/>
      <c r="Y6502" s="44"/>
    </row>
    <row r="6503" spans="14:25" ht="15" customHeight="1" x14ac:dyDescent="0.25">
      <c r="N6503" s="44"/>
      <c r="O6503" s="44"/>
      <c r="P6503" s="44"/>
      <c r="Q6503" s="44"/>
      <c r="R6503" s="44"/>
      <c r="S6503" s="44"/>
      <c r="T6503" s="44"/>
      <c r="U6503" s="44"/>
      <c r="V6503" s="44"/>
      <c r="W6503" s="44"/>
      <c r="X6503" s="44"/>
      <c r="Y6503" s="44"/>
    </row>
    <row r="6504" spans="14:25" ht="15" customHeight="1" x14ac:dyDescent="0.25">
      <c r="N6504" s="44"/>
      <c r="O6504" s="44"/>
      <c r="P6504" s="44"/>
      <c r="Q6504" s="44"/>
      <c r="R6504" s="44"/>
      <c r="S6504" s="44"/>
      <c r="T6504" s="44"/>
      <c r="U6504" s="44"/>
      <c r="V6504" s="44"/>
      <c r="W6504" s="44"/>
      <c r="X6504" s="44"/>
      <c r="Y6504" s="44"/>
    </row>
    <row r="6505" spans="14:25" ht="15" customHeight="1" x14ac:dyDescent="0.25">
      <c r="N6505" s="44"/>
      <c r="O6505" s="44"/>
      <c r="P6505" s="44"/>
      <c r="Q6505" s="44"/>
      <c r="R6505" s="44"/>
      <c r="S6505" s="44"/>
      <c r="T6505" s="44"/>
      <c r="U6505" s="44"/>
      <c r="V6505" s="44"/>
      <c r="W6505" s="44"/>
      <c r="X6505" s="44"/>
      <c r="Y6505" s="44"/>
    </row>
    <row r="6506" spans="14:25" ht="15" customHeight="1" x14ac:dyDescent="0.25">
      <c r="N6506" s="44"/>
      <c r="O6506" s="44"/>
      <c r="P6506" s="44"/>
      <c r="Q6506" s="44"/>
      <c r="R6506" s="44"/>
      <c r="S6506" s="44"/>
      <c r="T6506" s="44"/>
      <c r="U6506" s="44"/>
      <c r="V6506" s="44"/>
      <c r="W6506" s="44"/>
      <c r="X6506" s="44"/>
      <c r="Y6506" s="44"/>
    </row>
    <row r="6507" spans="14:25" ht="15" customHeight="1" x14ac:dyDescent="0.25">
      <c r="N6507" s="44"/>
      <c r="O6507" s="44"/>
      <c r="P6507" s="44"/>
      <c r="Q6507" s="44"/>
      <c r="R6507" s="44"/>
      <c r="S6507" s="44"/>
      <c r="T6507" s="44"/>
      <c r="U6507" s="44"/>
      <c r="V6507" s="44"/>
      <c r="W6507" s="44"/>
      <c r="X6507" s="44"/>
      <c r="Y6507" s="44"/>
    </row>
    <row r="6508" spans="14:25" ht="15" customHeight="1" x14ac:dyDescent="0.25">
      <c r="N6508" s="44"/>
      <c r="O6508" s="44"/>
      <c r="P6508" s="44"/>
      <c r="Q6508" s="44"/>
      <c r="R6508" s="44"/>
      <c r="S6508" s="44"/>
      <c r="T6508" s="44"/>
      <c r="U6508" s="44"/>
      <c r="V6508" s="44"/>
      <c r="W6508" s="44"/>
      <c r="X6508" s="44"/>
      <c r="Y6508" s="44"/>
    </row>
    <row r="6509" spans="14:25" ht="15" customHeight="1" x14ac:dyDescent="0.25">
      <c r="N6509" s="44"/>
      <c r="O6509" s="44"/>
      <c r="P6509" s="44"/>
      <c r="Q6509" s="44"/>
      <c r="R6509" s="44"/>
      <c r="S6509" s="44"/>
      <c r="T6509" s="44"/>
      <c r="U6509" s="44"/>
      <c r="V6509" s="44"/>
      <c r="W6509" s="44"/>
      <c r="X6509" s="44"/>
      <c r="Y6509" s="44"/>
    </row>
    <row r="6510" spans="14:25" ht="15" customHeight="1" x14ac:dyDescent="0.25">
      <c r="N6510" s="44"/>
      <c r="O6510" s="44"/>
      <c r="P6510" s="44"/>
      <c r="Q6510" s="44"/>
      <c r="R6510" s="44"/>
      <c r="S6510" s="44"/>
      <c r="T6510" s="44"/>
      <c r="U6510" s="44"/>
      <c r="V6510" s="44"/>
      <c r="W6510" s="44"/>
      <c r="X6510" s="44"/>
      <c r="Y6510" s="44"/>
    </row>
    <row r="6511" spans="14:25" ht="15" customHeight="1" x14ac:dyDescent="0.25">
      <c r="N6511" s="44"/>
      <c r="O6511" s="44"/>
      <c r="P6511" s="44"/>
      <c r="Q6511" s="44"/>
      <c r="R6511" s="44"/>
      <c r="S6511" s="44"/>
      <c r="T6511" s="44"/>
      <c r="U6511" s="44"/>
      <c r="V6511" s="44"/>
      <c r="W6511" s="44"/>
      <c r="X6511" s="44"/>
      <c r="Y6511" s="44"/>
    </row>
    <row r="6512" spans="14:25" ht="15" customHeight="1" x14ac:dyDescent="0.25">
      <c r="N6512" s="44"/>
      <c r="O6512" s="44"/>
      <c r="P6512" s="44"/>
      <c r="Q6512" s="44"/>
      <c r="R6512" s="44"/>
      <c r="S6512" s="44"/>
      <c r="T6512" s="44"/>
      <c r="U6512" s="44"/>
      <c r="V6512" s="44"/>
      <c r="W6512" s="44"/>
      <c r="X6512" s="44"/>
      <c r="Y6512" s="44"/>
    </row>
    <row r="6513" spans="14:25" ht="15" customHeight="1" x14ac:dyDescent="0.25">
      <c r="N6513" s="44"/>
      <c r="O6513" s="44"/>
      <c r="P6513" s="44"/>
      <c r="Q6513" s="44"/>
      <c r="R6513" s="44"/>
      <c r="S6513" s="44"/>
      <c r="T6513" s="44"/>
      <c r="U6513" s="44"/>
      <c r="V6513" s="44"/>
      <c r="W6513" s="44"/>
      <c r="X6513" s="44"/>
      <c r="Y6513" s="44"/>
    </row>
    <row r="6514" spans="14:25" ht="15" customHeight="1" x14ac:dyDescent="0.25">
      <c r="N6514" s="44"/>
      <c r="O6514" s="44"/>
      <c r="P6514" s="44"/>
      <c r="Q6514" s="44"/>
      <c r="R6514" s="44"/>
      <c r="S6514" s="44"/>
      <c r="T6514" s="44"/>
      <c r="U6514" s="44"/>
      <c r="V6514" s="44"/>
      <c r="W6514" s="44"/>
      <c r="X6514" s="44"/>
      <c r="Y6514" s="44"/>
    </row>
    <row r="6515" spans="14:25" ht="15" customHeight="1" x14ac:dyDescent="0.25">
      <c r="N6515" s="44"/>
      <c r="O6515" s="44"/>
      <c r="P6515" s="44"/>
      <c r="Q6515" s="44"/>
      <c r="R6515" s="44"/>
      <c r="S6515" s="44"/>
      <c r="T6515" s="44"/>
      <c r="U6515" s="44"/>
      <c r="V6515" s="44"/>
      <c r="W6515" s="44"/>
      <c r="X6515" s="44"/>
      <c r="Y6515" s="44"/>
    </row>
    <row r="6516" spans="14:25" ht="15" customHeight="1" x14ac:dyDescent="0.25">
      <c r="N6516" s="44"/>
      <c r="O6516" s="44"/>
      <c r="P6516" s="44"/>
      <c r="Q6516" s="44"/>
      <c r="R6516" s="44"/>
      <c r="S6516" s="44"/>
      <c r="T6516" s="44"/>
      <c r="U6516" s="44"/>
      <c r="V6516" s="44"/>
      <c r="W6516" s="44"/>
      <c r="X6516" s="44"/>
      <c r="Y6516" s="44"/>
    </row>
    <row r="6517" spans="14:25" ht="15" customHeight="1" x14ac:dyDescent="0.25">
      <c r="N6517" s="44"/>
      <c r="O6517" s="44"/>
      <c r="P6517" s="44"/>
      <c r="Q6517" s="44"/>
      <c r="R6517" s="44"/>
      <c r="S6517" s="44"/>
      <c r="T6517" s="44"/>
      <c r="U6517" s="44"/>
      <c r="V6517" s="44"/>
      <c r="W6517" s="44"/>
      <c r="X6517" s="44"/>
      <c r="Y6517" s="44"/>
    </row>
    <row r="6518" spans="14:25" ht="15" customHeight="1" x14ac:dyDescent="0.25">
      <c r="N6518" s="44"/>
      <c r="O6518" s="44"/>
      <c r="P6518" s="44"/>
      <c r="Q6518" s="44"/>
      <c r="R6518" s="44"/>
      <c r="S6518" s="44"/>
      <c r="T6518" s="44"/>
      <c r="U6518" s="44"/>
      <c r="V6518" s="44"/>
      <c r="W6518" s="44"/>
      <c r="X6518" s="44"/>
      <c r="Y6518" s="44"/>
    </row>
    <row r="6519" spans="14:25" ht="15" customHeight="1" x14ac:dyDescent="0.25">
      <c r="N6519" s="44"/>
      <c r="O6519" s="44"/>
      <c r="P6519" s="44"/>
      <c r="Q6519" s="44"/>
      <c r="R6519" s="44"/>
      <c r="S6519" s="44"/>
      <c r="T6519" s="44"/>
      <c r="U6519" s="44"/>
      <c r="V6519" s="44"/>
      <c r="W6519" s="44"/>
      <c r="X6519" s="44"/>
      <c r="Y6519" s="44"/>
    </row>
    <row r="6520" spans="14:25" ht="15" customHeight="1" x14ac:dyDescent="0.25">
      <c r="N6520" s="44"/>
      <c r="O6520" s="44"/>
      <c r="P6520" s="44"/>
      <c r="Q6520" s="44"/>
      <c r="R6520" s="44"/>
      <c r="S6520" s="44"/>
      <c r="T6520" s="44"/>
      <c r="U6520" s="44"/>
      <c r="V6520" s="44"/>
      <c r="W6520" s="44"/>
      <c r="X6520" s="44"/>
      <c r="Y6520" s="44"/>
    </row>
    <row r="6521" spans="14:25" ht="15" customHeight="1" x14ac:dyDescent="0.25">
      <c r="N6521" s="44"/>
      <c r="O6521" s="44"/>
      <c r="P6521" s="44"/>
      <c r="Q6521" s="44"/>
      <c r="R6521" s="44"/>
      <c r="S6521" s="44"/>
      <c r="T6521" s="44"/>
      <c r="U6521" s="44"/>
      <c r="V6521" s="44"/>
      <c r="W6521" s="44"/>
      <c r="X6521" s="44"/>
      <c r="Y6521" s="44"/>
    </row>
    <row r="6522" spans="14:25" ht="15" customHeight="1" x14ac:dyDescent="0.25">
      <c r="N6522" s="44"/>
      <c r="O6522" s="44"/>
      <c r="P6522" s="44"/>
      <c r="Q6522" s="44"/>
      <c r="R6522" s="44"/>
      <c r="S6522" s="44"/>
      <c r="T6522" s="44"/>
      <c r="U6522" s="44"/>
      <c r="V6522" s="44"/>
      <c r="W6522" s="44"/>
      <c r="X6522" s="44"/>
      <c r="Y6522" s="44"/>
    </row>
    <row r="6523" spans="14:25" ht="15" customHeight="1" x14ac:dyDescent="0.25">
      <c r="N6523" s="44"/>
      <c r="O6523" s="44"/>
      <c r="P6523" s="44"/>
      <c r="Q6523" s="44"/>
      <c r="R6523" s="44"/>
      <c r="S6523" s="44"/>
      <c r="T6523" s="44"/>
      <c r="U6523" s="44"/>
      <c r="V6523" s="44"/>
      <c r="W6523" s="44"/>
      <c r="X6523" s="44"/>
      <c r="Y6523" s="44"/>
    </row>
    <row r="6524" spans="14:25" ht="15" customHeight="1" x14ac:dyDescent="0.25">
      <c r="N6524" s="44"/>
      <c r="O6524" s="44"/>
      <c r="P6524" s="44"/>
      <c r="Q6524" s="44"/>
      <c r="R6524" s="44"/>
      <c r="S6524" s="44"/>
      <c r="T6524" s="44"/>
      <c r="U6524" s="44"/>
      <c r="V6524" s="44"/>
      <c r="W6524" s="44"/>
      <c r="X6524" s="44"/>
      <c r="Y6524" s="44"/>
    </row>
    <row r="6525" spans="14:25" ht="15" customHeight="1" x14ac:dyDescent="0.25">
      <c r="N6525" s="44"/>
      <c r="O6525" s="44"/>
      <c r="P6525" s="44"/>
      <c r="Q6525" s="44"/>
      <c r="R6525" s="44"/>
      <c r="S6525" s="44"/>
      <c r="T6525" s="44"/>
      <c r="U6525" s="44"/>
      <c r="V6525" s="44"/>
      <c r="W6525" s="44"/>
      <c r="X6525" s="44"/>
      <c r="Y6525" s="44"/>
    </row>
    <row r="6526" spans="14:25" ht="15" customHeight="1" x14ac:dyDescent="0.25">
      <c r="N6526" s="44"/>
      <c r="O6526" s="44"/>
      <c r="P6526" s="44"/>
      <c r="Q6526" s="44"/>
      <c r="R6526" s="44"/>
      <c r="S6526" s="44"/>
      <c r="T6526" s="44"/>
      <c r="U6526" s="44"/>
      <c r="V6526" s="44"/>
      <c r="W6526" s="44"/>
      <c r="X6526" s="44"/>
      <c r="Y6526" s="44"/>
    </row>
    <row r="6527" spans="14:25" ht="15" customHeight="1" x14ac:dyDescent="0.25">
      <c r="N6527" s="44"/>
      <c r="O6527" s="44"/>
      <c r="P6527" s="44"/>
      <c r="Q6527" s="44"/>
      <c r="R6527" s="44"/>
      <c r="S6527" s="44"/>
      <c r="T6527" s="44"/>
      <c r="U6527" s="44"/>
      <c r="V6527" s="44"/>
      <c r="W6527" s="44"/>
      <c r="X6527" s="44"/>
      <c r="Y6527" s="44"/>
    </row>
    <row r="6528" spans="14:25" ht="15" customHeight="1" x14ac:dyDescent="0.25">
      <c r="N6528" s="44"/>
      <c r="O6528" s="44"/>
      <c r="P6528" s="44"/>
      <c r="Q6528" s="44"/>
      <c r="R6528" s="44"/>
      <c r="S6528" s="44"/>
      <c r="T6528" s="44"/>
      <c r="U6528" s="44"/>
      <c r="V6528" s="44"/>
      <c r="W6528" s="44"/>
      <c r="X6528" s="44"/>
      <c r="Y6528" s="44"/>
    </row>
    <row r="6529" spans="14:25" ht="15" customHeight="1" x14ac:dyDescent="0.25">
      <c r="N6529" s="44"/>
      <c r="O6529" s="44"/>
      <c r="P6529" s="44"/>
      <c r="Q6529" s="44"/>
      <c r="R6529" s="44"/>
      <c r="S6529" s="44"/>
      <c r="T6529" s="44"/>
      <c r="U6529" s="44"/>
      <c r="V6529" s="44"/>
      <c r="W6529" s="44"/>
      <c r="X6529" s="44"/>
      <c r="Y6529" s="44"/>
    </row>
    <row r="6530" spans="14:25" ht="15" customHeight="1" x14ac:dyDescent="0.25">
      <c r="N6530" s="44"/>
      <c r="O6530" s="44"/>
      <c r="P6530" s="44"/>
      <c r="Q6530" s="44"/>
      <c r="R6530" s="44"/>
      <c r="S6530" s="44"/>
      <c r="T6530" s="44"/>
      <c r="U6530" s="44"/>
      <c r="V6530" s="44"/>
      <c r="W6530" s="44"/>
      <c r="X6530" s="44"/>
      <c r="Y6530" s="44"/>
    </row>
    <row r="6531" spans="14:25" ht="15" customHeight="1" x14ac:dyDescent="0.25">
      <c r="N6531" s="44"/>
      <c r="O6531" s="44"/>
      <c r="P6531" s="44"/>
      <c r="Q6531" s="44"/>
      <c r="R6531" s="44"/>
      <c r="S6531" s="44"/>
      <c r="T6531" s="44"/>
      <c r="U6531" s="44"/>
      <c r="V6531" s="44"/>
      <c r="W6531" s="44"/>
      <c r="X6531" s="44"/>
      <c r="Y6531" s="44"/>
    </row>
    <row r="6532" spans="14:25" ht="15" customHeight="1" x14ac:dyDescent="0.25">
      <c r="N6532" s="44"/>
      <c r="O6532" s="44"/>
      <c r="P6532" s="44"/>
      <c r="Q6532" s="44"/>
      <c r="R6532" s="44"/>
      <c r="S6532" s="44"/>
      <c r="T6532" s="44"/>
      <c r="U6532" s="44"/>
      <c r="V6532" s="44"/>
      <c r="W6532" s="44"/>
      <c r="X6532" s="44"/>
      <c r="Y6532" s="44"/>
    </row>
    <row r="6533" spans="14:25" ht="15" customHeight="1" x14ac:dyDescent="0.25">
      <c r="N6533" s="44"/>
      <c r="O6533" s="44"/>
      <c r="P6533" s="44"/>
      <c r="Q6533" s="44"/>
      <c r="R6533" s="44"/>
      <c r="S6533" s="44"/>
      <c r="T6533" s="44"/>
      <c r="U6533" s="44"/>
      <c r="V6533" s="44"/>
      <c r="W6533" s="44"/>
      <c r="X6533" s="44"/>
      <c r="Y6533" s="44"/>
    </row>
    <row r="6534" spans="14:25" ht="15" customHeight="1" x14ac:dyDescent="0.25">
      <c r="N6534" s="44"/>
      <c r="O6534" s="44"/>
      <c r="P6534" s="44"/>
      <c r="Q6534" s="44"/>
      <c r="R6534" s="44"/>
      <c r="S6534" s="44"/>
      <c r="T6534" s="44"/>
      <c r="U6534" s="44"/>
      <c r="V6534" s="44"/>
      <c r="W6534" s="44"/>
      <c r="X6534" s="44"/>
      <c r="Y6534" s="44"/>
    </row>
    <row r="6535" spans="14:25" ht="15" customHeight="1" x14ac:dyDescent="0.25">
      <c r="N6535" s="44"/>
      <c r="O6535" s="44"/>
      <c r="P6535" s="44"/>
      <c r="Q6535" s="44"/>
      <c r="R6535" s="44"/>
      <c r="S6535" s="44"/>
      <c r="T6535" s="44"/>
      <c r="U6535" s="44"/>
      <c r="V6535" s="44"/>
      <c r="W6535" s="44"/>
      <c r="X6535" s="44"/>
      <c r="Y6535" s="44"/>
    </row>
    <row r="6536" spans="14:25" ht="15" customHeight="1" x14ac:dyDescent="0.25">
      <c r="N6536" s="44"/>
      <c r="O6536" s="44"/>
      <c r="P6536" s="44"/>
      <c r="Q6536" s="44"/>
      <c r="R6536" s="44"/>
      <c r="S6536" s="44"/>
      <c r="T6536" s="44"/>
      <c r="U6536" s="44"/>
      <c r="V6536" s="44"/>
      <c r="W6536" s="44"/>
      <c r="X6536" s="44"/>
      <c r="Y6536" s="44"/>
    </row>
    <row r="6537" spans="14:25" ht="15" customHeight="1" x14ac:dyDescent="0.25">
      <c r="N6537" s="44"/>
      <c r="O6537" s="44"/>
      <c r="P6537" s="44"/>
      <c r="Q6537" s="44"/>
      <c r="R6537" s="44"/>
      <c r="S6537" s="44"/>
      <c r="T6537" s="44"/>
      <c r="U6537" s="44"/>
      <c r="V6537" s="44"/>
      <c r="W6537" s="44"/>
      <c r="X6537" s="44"/>
      <c r="Y6537" s="44"/>
    </row>
    <row r="6538" spans="14:25" ht="15" customHeight="1" x14ac:dyDescent="0.25">
      <c r="N6538" s="44"/>
      <c r="O6538" s="44"/>
      <c r="P6538" s="44"/>
      <c r="Q6538" s="44"/>
      <c r="R6538" s="44"/>
      <c r="S6538" s="44"/>
      <c r="T6538" s="44"/>
      <c r="U6538" s="44"/>
      <c r="V6538" s="44"/>
      <c r="W6538" s="44"/>
      <c r="X6538" s="44"/>
      <c r="Y6538" s="44"/>
    </row>
    <row r="6539" spans="14:25" ht="15" customHeight="1" x14ac:dyDescent="0.25">
      <c r="N6539" s="44"/>
      <c r="O6539" s="44"/>
      <c r="P6539" s="44"/>
      <c r="Q6539" s="44"/>
      <c r="R6539" s="44"/>
      <c r="S6539" s="44"/>
      <c r="T6539" s="44"/>
      <c r="U6539" s="44"/>
      <c r="V6539" s="44"/>
      <c r="W6539" s="44"/>
      <c r="X6539" s="44"/>
      <c r="Y6539" s="44"/>
    </row>
    <row r="6540" spans="14:25" ht="15" customHeight="1" x14ac:dyDescent="0.25">
      <c r="N6540" s="44"/>
      <c r="O6540" s="44"/>
      <c r="P6540" s="44"/>
      <c r="Q6540" s="44"/>
      <c r="R6540" s="44"/>
      <c r="S6540" s="44"/>
      <c r="T6540" s="44"/>
      <c r="U6540" s="44"/>
      <c r="V6540" s="44"/>
      <c r="W6540" s="44"/>
      <c r="X6540" s="44"/>
      <c r="Y6540" s="44"/>
    </row>
    <row r="6541" spans="14:25" ht="15" customHeight="1" x14ac:dyDescent="0.25">
      <c r="N6541" s="44"/>
      <c r="O6541" s="44"/>
      <c r="P6541" s="44"/>
      <c r="Q6541" s="44"/>
      <c r="R6541" s="44"/>
      <c r="S6541" s="44"/>
      <c r="T6541" s="44"/>
      <c r="U6541" s="44"/>
      <c r="V6541" s="44"/>
      <c r="W6541" s="44"/>
      <c r="X6541" s="44"/>
      <c r="Y6541" s="44"/>
    </row>
    <row r="6542" spans="14:25" ht="15" customHeight="1" x14ac:dyDescent="0.25">
      <c r="N6542" s="44"/>
      <c r="O6542" s="44"/>
      <c r="P6542" s="44"/>
      <c r="Q6542" s="44"/>
      <c r="R6542" s="44"/>
      <c r="S6542" s="44"/>
      <c r="T6542" s="44"/>
      <c r="U6542" s="44"/>
      <c r="V6542" s="44"/>
      <c r="W6542" s="44"/>
      <c r="X6542" s="44"/>
      <c r="Y6542" s="44"/>
    </row>
    <row r="6543" spans="14:25" ht="15" customHeight="1" x14ac:dyDescent="0.25">
      <c r="N6543" s="44"/>
      <c r="O6543" s="44"/>
      <c r="P6543" s="44"/>
      <c r="Q6543" s="44"/>
      <c r="R6543" s="44"/>
      <c r="S6543" s="44"/>
      <c r="T6543" s="44"/>
      <c r="U6543" s="44"/>
      <c r="V6543" s="44"/>
      <c r="W6543" s="44"/>
      <c r="X6543" s="44"/>
      <c r="Y6543" s="44"/>
    </row>
    <row r="6544" spans="14:25" ht="15" customHeight="1" x14ac:dyDescent="0.25">
      <c r="N6544" s="44"/>
      <c r="O6544" s="44"/>
      <c r="P6544" s="44"/>
      <c r="Q6544" s="44"/>
      <c r="R6544" s="44"/>
      <c r="S6544" s="44"/>
      <c r="T6544" s="44"/>
      <c r="U6544" s="44"/>
      <c r="V6544" s="44"/>
      <c r="W6544" s="44"/>
      <c r="X6544" s="44"/>
      <c r="Y6544" s="44"/>
    </row>
    <row r="6545" spans="14:25" ht="15" customHeight="1" x14ac:dyDescent="0.25">
      <c r="N6545" s="44"/>
      <c r="O6545" s="44"/>
      <c r="P6545" s="44"/>
      <c r="Q6545" s="44"/>
      <c r="R6545" s="44"/>
      <c r="S6545" s="44"/>
      <c r="T6545" s="44"/>
      <c r="U6545" s="44"/>
      <c r="V6545" s="44"/>
      <c r="W6545" s="44"/>
      <c r="X6545" s="44"/>
      <c r="Y6545" s="44"/>
    </row>
    <row r="6546" spans="14:25" ht="15" customHeight="1" x14ac:dyDescent="0.25">
      <c r="N6546" s="44"/>
      <c r="O6546" s="44"/>
      <c r="P6546" s="44"/>
      <c r="Q6546" s="44"/>
      <c r="R6546" s="44"/>
      <c r="S6546" s="44"/>
      <c r="T6546" s="44"/>
      <c r="U6546" s="44"/>
      <c r="V6546" s="44"/>
      <c r="W6546" s="44"/>
      <c r="X6546" s="44"/>
      <c r="Y6546" s="44"/>
    </row>
    <row r="6547" spans="14:25" ht="15" customHeight="1" x14ac:dyDescent="0.25">
      <c r="N6547" s="44"/>
      <c r="O6547" s="44"/>
      <c r="P6547" s="44"/>
      <c r="Q6547" s="44"/>
      <c r="R6547" s="44"/>
      <c r="S6547" s="44"/>
      <c r="T6547" s="44"/>
      <c r="U6547" s="44"/>
      <c r="V6547" s="44"/>
      <c r="W6547" s="44"/>
      <c r="X6547" s="44"/>
      <c r="Y6547" s="44"/>
    </row>
    <row r="6548" spans="14:25" ht="15" customHeight="1" x14ac:dyDescent="0.25">
      <c r="N6548" s="44"/>
      <c r="O6548" s="44"/>
      <c r="P6548" s="44"/>
      <c r="Q6548" s="44"/>
      <c r="R6548" s="44"/>
      <c r="S6548" s="44"/>
      <c r="T6548" s="44"/>
      <c r="U6548" s="44"/>
      <c r="V6548" s="44"/>
      <c r="W6548" s="44"/>
      <c r="X6548" s="44"/>
      <c r="Y6548" s="44"/>
    </row>
    <row r="6549" spans="14:25" ht="15" customHeight="1" x14ac:dyDescent="0.25">
      <c r="N6549" s="44"/>
      <c r="O6549" s="44"/>
      <c r="P6549" s="44"/>
      <c r="Q6549" s="44"/>
      <c r="R6549" s="44"/>
      <c r="S6549" s="44"/>
      <c r="T6549" s="44"/>
      <c r="U6549" s="44"/>
      <c r="V6549" s="44"/>
      <c r="W6549" s="44"/>
      <c r="X6549" s="44"/>
      <c r="Y6549" s="44"/>
    </row>
    <row r="6550" spans="14:25" ht="15" customHeight="1" x14ac:dyDescent="0.25">
      <c r="N6550" s="44"/>
      <c r="O6550" s="44"/>
      <c r="P6550" s="44"/>
      <c r="Q6550" s="44"/>
      <c r="R6550" s="44"/>
      <c r="S6550" s="44"/>
      <c r="T6550" s="44"/>
      <c r="U6550" s="44"/>
      <c r="V6550" s="44"/>
      <c r="W6550" s="44"/>
      <c r="X6550" s="44"/>
      <c r="Y6550" s="44"/>
    </row>
    <row r="6551" spans="14:25" ht="15" customHeight="1" x14ac:dyDescent="0.25">
      <c r="N6551" s="44"/>
      <c r="O6551" s="44"/>
      <c r="P6551" s="44"/>
      <c r="Q6551" s="44"/>
      <c r="R6551" s="44"/>
      <c r="S6551" s="44"/>
      <c r="T6551" s="44"/>
      <c r="U6551" s="44"/>
      <c r="V6551" s="44"/>
      <c r="W6551" s="44"/>
      <c r="X6551" s="44"/>
      <c r="Y6551" s="44"/>
    </row>
    <row r="6552" spans="14:25" ht="15" customHeight="1" x14ac:dyDescent="0.25">
      <c r="N6552" s="44"/>
      <c r="O6552" s="44"/>
      <c r="P6552" s="44"/>
      <c r="Q6552" s="44"/>
      <c r="R6552" s="44"/>
      <c r="S6552" s="44"/>
      <c r="T6552" s="44"/>
      <c r="U6552" s="44"/>
      <c r="V6552" s="44"/>
      <c r="W6552" s="44"/>
      <c r="X6552" s="44"/>
      <c r="Y6552" s="44"/>
    </row>
    <row r="6553" spans="14:25" ht="15" customHeight="1" x14ac:dyDescent="0.25">
      <c r="N6553" s="44"/>
      <c r="O6553" s="44"/>
      <c r="P6553" s="44"/>
      <c r="Q6553" s="44"/>
      <c r="R6553" s="44"/>
      <c r="S6553" s="44"/>
      <c r="T6553" s="44"/>
      <c r="U6553" s="44"/>
      <c r="V6553" s="44"/>
      <c r="W6553" s="44"/>
      <c r="X6553" s="44"/>
      <c r="Y6553" s="44"/>
    </row>
    <row r="6554" spans="14:25" ht="15" customHeight="1" x14ac:dyDescent="0.25">
      <c r="N6554" s="44"/>
      <c r="O6554" s="44"/>
      <c r="P6554" s="44"/>
      <c r="Q6554" s="44"/>
      <c r="R6554" s="44"/>
      <c r="S6554" s="44"/>
      <c r="T6554" s="44"/>
      <c r="U6554" s="44"/>
      <c r="V6554" s="44"/>
      <c r="W6554" s="44"/>
      <c r="X6554" s="44"/>
      <c r="Y6554" s="44"/>
    </row>
    <row r="6555" spans="14:25" ht="15" customHeight="1" x14ac:dyDescent="0.25">
      <c r="N6555" s="44"/>
      <c r="O6555" s="44"/>
      <c r="P6555" s="44"/>
      <c r="Q6555" s="44"/>
      <c r="R6555" s="44"/>
      <c r="S6555" s="44"/>
      <c r="T6555" s="44"/>
      <c r="U6555" s="44"/>
      <c r="V6555" s="44"/>
      <c r="W6555" s="44"/>
      <c r="X6555" s="44"/>
      <c r="Y6555" s="44"/>
    </row>
    <row r="6556" spans="14:25" ht="15" customHeight="1" x14ac:dyDescent="0.25">
      <c r="N6556" s="44"/>
      <c r="O6556" s="44"/>
      <c r="P6556" s="44"/>
      <c r="Q6556" s="44"/>
      <c r="R6556" s="44"/>
      <c r="S6556" s="44"/>
      <c r="T6556" s="44"/>
      <c r="U6556" s="44"/>
      <c r="V6556" s="44"/>
      <c r="W6556" s="44"/>
      <c r="X6556" s="44"/>
      <c r="Y6556" s="44"/>
    </row>
    <row r="6557" spans="14:25" ht="15" customHeight="1" x14ac:dyDescent="0.25">
      <c r="N6557" s="44"/>
      <c r="O6557" s="44"/>
      <c r="P6557" s="44"/>
      <c r="Q6557" s="44"/>
      <c r="R6557" s="44"/>
      <c r="S6557" s="44"/>
      <c r="T6557" s="44"/>
      <c r="U6557" s="44"/>
      <c r="V6557" s="44"/>
      <c r="W6557" s="44"/>
      <c r="X6557" s="44"/>
      <c r="Y6557" s="44"/>
    </row>
    <row r="6558" spans="14:25" ht="15" customHeight="1" x14ac:dyDescent="0.25">
      <c r="N6558" s="44"/>
      <c r="O6558" s="44"/>
      <c r="P6558" s="44"/>
      <c r="Q6558" s="44"/>
      <c r="R6558" s="44"/>
      <c r="S6558" s="44"/>
      <c r="T6558" s="44"/>
      <c r="U6558" s="44"/>
      <c r="V6558" s="44"/>
      <c r="W6558" s="44"/>
      <c r="X6558" s="44"/>
      <c r="Y6558" s="44"/>
    </row>
    <row r="6559" spans="14:25" ht="15" customHeight="1" x14ac:dyDescent="0.25">
      <c r="N6559" s="44"/>
      <c r="O6559" s="44"/>
      <c r="P6559" s="44"/>
      <c r="Q6559" s="44"/>
      <c r="R6559" s="44"/>
      <c r="S6559" s="44"/>
      <c r="T6559" s="44"/>
      <c r="U6559" s="44"/>
      <c r="V6559" s="44"/>
      <c r="W6559" s="44"/>
      <c r="X6559" s="44"/>
      <c r="Y6559" s="44"/>
    </row>
    <row r="6560" spans="14:25" ht="15" customHeight="1" x14ac:dyDescent="0.25">
      <c r="N6560" s="44"/>
      <c r="O6560" s="44"/>
      <c r="P6560" s="44"/>
      <c r="Q6560" s="44"/>
      <c r="R6560" s="44"/>
      <c r="S6560" s="44"/>
      <c r="T6560" s="44"/>
      <c r="U6560" s="44"/>
      <c r="V6560" s="44"/>
      <c r="W6560" s="44"/>
      <c r="X6560" s="44"/>
      <c r="Y6560" s="44"/>
    </row>
    <row r="6561" spans="14:25" ht="15" customHeight="1" x14ac:dyDescent="0.25">
      <c r="N6561" s="44"/>
      <c r="O6561" s="44"/>
      <c r="P6561" s="44"/>
      <c r="Q6561" s="44"/>
      <c r="R6561" s="44"/>
      <c r="S6561" s="44"/>
      <c r="T6561" s="44"/>
      <c r="U6561" s="44"/>
      <c r="V6561" s="44"/>
      <c r="W6561" s="44"/>
      <c r="X6561" s="44"/>
      <c r="Y6561" s="44"/>
    </row>
    <row r="6562" spans="14:25" ht="15" customHeight="1" x14ac:dyDescent="0.25">
      <c r="N6562" s="44"/>
      <c r="O6562" s="44"/>
      <c r="P6562" s="44"/>
      <c r="Q6562" s="44"/>
      <c r="R6562" s="44"/>
      <c r="S6562" s="44"/>
      <c r="T6562" s="44"/>
      <c r="U6562" s="44"/>
      <c r="V6562" s="44"/>
      <c r="W6562" s="44"/>
      <c r="X6562" s="44"/>
      <c r="Y6562" s="44"/>
    </row>
    <row r="6563" spans="14:25" ht="15" customHeight="1" x14ac:dyDescent="0.25">
      <c r="N6563" s="44"/>
      <c r="O6563" s="44"/>
      <c r="P6563" s="44"/>
      <c r="Q6563" s="44"/>
      <c r="R6563" s="44"/>
      <c r="S6563" s="44"/>
      <c r="T6563" s="44"/>
      <c r="U6563" s="44"/>
      <c r="V6563" s="44"/>
      <c r="W6563" s="44"/>
      <c r="X6563" s="44"/>
      <c r="Y6563" s="44"/>
    </row>
    <row r="6564" spans="14:25" ht="15" customHeight="1" x14ac:dyDescent="0.25">
      <c r="N6564" s="44"/>
      <c r="O6564" s="44"/>
      <c r="P6564" s="44"/>
      <c r="Q6564" s="44"/>
      <c r="R6564" s="44"/>
      <c r="S6564" s="44"/>
      <c r="T6564" s="44"/>
      <c r="U6564" s="44"/>
      <c r="V6564" s="44"/>
      <c r="W6564" s="44"/>
      <c r="X6564" s="44"/>
      <c r="Y6564" s="44"/>
    </row>
    <row r="6565" spans="14:25" ht="15" customHeight="1" x14ac:dyDescent="0.25">
      <c r="N6565" s="44"/>
      <c r="O6565" s="44"/>
      <c r="P6565" s="44"/>
      <c r="Q6565" s="44"/>
      <c r="R6565" s="44"/>
      <c r="S6565" s="44"/>
      <c r="T6565" s="44"/>
      <c r="U6565" s="44"/>
      <c r="V6565" s="44"/>
      <c r="W6565" s="44"/>
      <c r="X6565" s="44"/>
      <c r="Y6565" s="44"/>
    </row>
    <row r="6566" spans="14:25" ht="15" customHeight="1" x14ac:dyDescent="0.25">
      <c r="N6566" s="44"/>
      <c r="O6566" s="44"/>
      <c r="P6566" s="44"/>
      <c r="Q6566" s="44"/>
      <c r="R6566" s="44"/>
      <c r="S6566" s="44"/>
      <c r="T6566" s="44"/>
      <c r="U6566" s="44"/>
      <c r="V6566" s="44"/>
      <c r="W6566" s="44"/>
      <c r="X6566" s="44"/>
      <c r="Y6566" s="44"/>
    </row>
    <row r="6567" spans="14:25" ht="15" customHeight="1" x14ac:dyDescent="0.25">
      <c r="N6567" s="44"/>
      <c r="O6567" s="44"/>
      <c r="P6567" s="44"/>
      <c r="Q6567" s="44"/>
      <c r="R6567" s="44"/>
      <c r="S6567" s="44"/>
      <c r="T6567" s="44"/>
      <c r="U6567" s="44"/>
      <c r="V6567" s="44"/>
      <c r="W6567" s="44"/>
      <c r="X6567" s="44"/>
      <c r="Y6567" s="44"/>
    </row>
    <row r="6568" spans="14:25" ht="15" customHeight="1" x14ac:dyDescent="0.25">
      <c r="N6568" s="44"/>
      <c r="O6568" s="44"/>
      <c r="P6568" s="44"/>
      <c r="Q6568" s="44"/>
      <c r="R6568" s="44"/>
      <c r="S6568" s="44"/>
      <c r="T6568" s="44"/>
      <c r="U6568" s="44"/>
      <c r="V6568" s="44"/>
      <c r="W6568" s="44"/>
      <c r="X6568" s="44"/>
      <c r="Y6568" s="44"/>
    </row>
    <row r="6569" spans="14:25" ht="15" customHeight="1" x14ac:dyDescent="0.25">
      <c r="N6569" s="44"/>
      <c r="O6569" s="44"/>
      <c r="P6569" s="44"/>
      <c r="Q6569" s="44"/>
      <c r="R6569" s="44"/>
      <c r="S6569" s="44"/>
      <c r="T6569" s="44"/>
      <c r="U6569" s="44"/>
      <c r="V6569" s="44"/>
      <c r="W6569" s="44"/>
      <c r="X6569" s="44"/>
      <c r="Y6569" s="44"/>
    </row>
    <row r="6570" spans="14:25" ht="15" customHeight="1" x14ac:dyDescent="0.25">
      <c r="N6570" s="44"/>
      <c r="O6570" s="44"/>
      <c r="P6570" s="44"/>
      <c r="Q6570" s="44"/>
      <c r="R6570" s="44"/>
      <c r="S6570" s="44"/>
      <c r="T6570" s="44"/>
      <c r="U6570" s="44"/>
      <c r="V6570" s="44"/>
      <c r="W6570" s="44"/>
      <c r="X6570" s="44"/>
      <c r="Y6570" s="44"/>
    </row>
    <row r="6571" spans="14:25" ht="15" customHeight="1" x14ac:dyDescent="0.25">
      <c r="N6571" s="44"/>
      <c r="O6571" s="44"/>
      <c r="P6571" s="44"/>
      <c r="Q6571" s="44"/>
      <c r="R6571" s="44"/>
      <c r="S6571" s="44"/>
      <c r="T6571" s="44"/>
      <c r="U6571" s="44"/>
      <c r="V6571" s="44"/>
      <c r="W6571" s="44"/>
      <c r="X6571" s="44"/>
      <c r="Y6571" s="44"/>
    </row>
    <row r="6572" spans="14:25" ht="15" customHeight="1" x14ac:dyDescent="0.25">
      <c r="N6572" s="44"/>
      <c r="O6572" s="44"/>
      <c r="P6572" s="44"/>
      <c r="Q6572" s="44"/>
      <c r="R6572" s="44"/>
      <c r="S6572" s="44"/>
      <c r="T6572" s="44"/>
      <c r="U6572" s="44"/>
      <c r="V6572" s="44"/>
      <c r="W6572" s="44"/>
      <c r="X6572" s="44"/>
      <c r="Y6572" s="44"/>
    </row>
    <row r="6573" spans="14:25" ht="15" customHeight="1" x14ac:dyDescent="0.25">
      <c r="N6573" s="44"/>
      <c r="O6573" s="44"/>
      <c r="P6573" s="44"/>
      <c r="Q6573" s="44"/>
      <c r="R6573" s="44"/>
      <c r="S6573" s="44"/>
      <c r="T6573" s="44"/>
      <c r="U6573" s="44"/>
      <c r="V6573" s="44"/>
      <c r="W6573" s="44"/>
      <c r="X6573" s="44"/>
      <c r="Y6573" s="44"/>
    </row>
    <row r="6574" spans="14:25" ht="15" customHeight="1" x14ac:dyDescent="0.25">
      <c r="N6574" s="44"/>
      <c r="O6574" s="44"/>
      <c r="P6574" s="44"/>
      <c r="Q6574" s="44"/>
      <c r="R6574" s="44"/>
      <c r="S6574" s="44"/>
      <c r="T6574" s="44"/>
      <c r="U6574" s="44"/>
      <c r="V6574" s="44"/>
      <c r="W6574" s="44"/>
      <c r="X6574" s="44"/>
      <c r="Y6574" s="44"/>
    </row>
    <row r="6575" spans="14:25" ht="15" customHeight="1" x14ac:dyDescent="0.25">
      <c r="N6575" s="44"/>
      <c r="O6575" s="44"/>
      <c r="P6575" s="44"/>
      <c r="Q6575" s="44"/>
      <c r="R6575" s="44"/>
      <c r="S6575" s="44"/>
      <c r="T6575" s="44"/>
      <c r="U6575" s="44"/>
      <c r="V6575" s="44"/>
      <c r="W6575" s="44"/>
      <c r="X6575" s="44"/>
      <c r="Y6575" s="44"/>
    </row>
    <row r="6576" spans="14:25" ht="15" customHeight="1" x14ac:dyDescent="0.25">
      <c r="N6576" s="44"/>
      <c r="O6576" s="44"/>
      <c r="P6576" s="44"/>
      <c r="Q6576" s="44"/>
      <c r="R6576" s="44"/>
      <c r="S6576" s="44"/>
      <c r="T6576" s="44"/>
      <c r="U6576" s="44"/>
      <c r="V6576" s="44"/>
      <c r="W6576" s="44"/>
      <c r="X6576" s="44"/>
      <c r="Y6576" s="44"/>
    </row>
    <row r="6577" spans="14:25" ht="15" customHeight="1" x14ac:dyDescent="0.25">
      <c r="N6577" s="44"/>
      <c r="O6577" s="44"/>
      <c r="P6577" s="44"/>
      <c r="Q6577" s="44"/>
      <c r="R6577" s="44"/>
      <c r="S6577" s="44"/>
      <c r="T6577" s="44"/>
      <c r="U6577" s="44"/>
      <c r="V6577" s="44"/>
      <c r="W6577" s="44"/>
      <c r="X6577" s="44"/>
      <c r="Y6577" s="44"/>
    </row>
    <row r="6578" spans="14:25" ht="15" customHeight="1" x14ac:dyDescent="0.25">
      <c r="N6578" s="44"/>
      <c r="O6578" s="44"/>
      <c r="P6578" s="44"/>
      <c r="Q6578" s="44"/>
      <c r="R6578" s="44"/>
      <c r="S6578" s="44"/>
      <c r="T6578" s="44"/>
      <c r="U6578" s="44"/>
      <c r="V6578" s="44"/>
      <c r="W6578" s="44"/>
      <c r="X6578" s="44"/>
      <c r="Y6578" s="44"/>
    </row>
    <row r="6579" spans="14:25" ht="15" customHeight="1" x14ac:dyDescent="0.25">
      <c r="N6579" s="44"/>
      <c r="O6579" s="44"/>
      <c r="P6579" s="44"/>
      <c r="Q6579" s="44"/>
      <c r="R6579" s="44"/>
      <c r="S6579" s="44"/>
      <c r="T6579" s="44"/>
      <c r="U6579" s="44"/>
      <c r="V6579" s="44"/>
      <c r="W6579" s="44"/>
      <c r="X6579" s="44"/>
      <c r="Y6579" s="44"/>
    </row>
    <row r="6580" spans="14:25" ht="15" customHeight="1" x14ac:dyDescent="0.25">
      <c r="N6580" s="44"/>
      <c r="O6580" s="44"/>
      <c r="P6580" s="44"/>
      <c r="Q6580" s="44"/>
      <c r="R6580" s="44"/>
      <c r="S6580" s="44"/>
      <c r="T6580" s="44"/>
      <c r="U6580" s="44"/>
      <c r="V6580" s="44"/>
      <c r="W6580" s="44"/>
      <c r="X6580" s="44"/>
      <c r="Y6580" s="44"/>
    </row>
    <row r="6581" spans="14:25" ht="15" customHeight="1" x14ac:dyDescent="0.25">
      <c r="N6581" s="44"/>
      <c r="O6581" s="44"/>
      <c r="P6581" s="44"/>
      <c r="Q6581" s="44"/>
      <c r="R6581" s="44"/>
      <c r="S6581" s="44"/>
      <c r="T6581" s="44"/>
      <c r="U6581" s="44"/>
      <c r="V6581" s="44"/>
      <c r="W6581" s="44"/>
      <c r="X6581" s="44"/>
      <c r="Y6581" s="44"/>
    </row>
    <row r="6582" spans="14:25" ht="15" customHeight="1" x14ac:dyDescent="0.25">
      <c r="N6582" s="44"/>
      <c r="O6582" s="44"/>
      <c r="P6582" s="44"/>
      <c r="Q6582" s="44"/>
      <c r="R6582" s="44"/>
      <c r="S6582" s="44"/>
      <c r="T6582" s="44"/>
      <c r="U6582" s="44"/>
      <c r="V6582" s="44"/>
      <c r="W6582" s="44"/>
      <c r="X6582" s="44"/>
      <c r="Y6582" s="44"/>
    </row>
    <row r="6583" spans="14:25" ht="15" customHeight="1" x14ac:dyDescent="0.25">
      <c r="N6583" s="44"/>
      <c r="O6583" s="44"/>
      <c r="P6583" s="44"/>
      <c r="Q6583" s="44"/>
      <c r="R6583" s="44"/>
      <c r="S6583" s="44"/>
      <c r="T6583" s="44"/>
      <c r="U6583" s="44"/>
      <c r="V6583" s="44"/>
      <c r="W6583" s="44"/>
      <c r="X6583" s="44"/>
      <c r="Y6583" s="44"/>
    </row>
    <row r="6584" spans="14:25" ht="15" customHeight="1" x14ac:dyDescent="0.25">
      <c r="N6584" s="44"/>
      <c r="O6584" s="44"/>
      <c r="P6584" s="44"/>
      <c r="Q6584" s="44"/>
      <c r="R6584" s="44"/>
      <c r="S6584" s="44"/>
      <c r="T6584" s="44"/>
      <c r="U6584" s="44"/>
      <c r="V6584" s="44"/>
      <c r="W6584" s="44"/>
      <c r="X6584" s="44"/>
      <c r="Y6584" s="44"/>
    </row>
    <row r="6585" spans="14:25" ht="15" customHeight="1" x14ac:dyDescent="0.25">
      <c r="N6585" s="44"/>
      <c r="O6585" s="44"/>
      <c r="P6585" s="44"/>
      <c r="Q6585" s="44"/>
      <c r="R6585" s="44"/>
      <c r="S6585" s="44"/>
      <c r="T6585" s="44"/>
      <c r="U6585" s="44"/>
      <c r="V6585" s="44"/>
      <c r="W6585" s="44"/>
      <c r="X6585" s="44"/>
      <c r="Y6585" s="44"/>
    </row>
    <row r="6586" spans="14:25" ht="15" customHeight="1" x14ac:dyDescent="0.25">
      <c r="N6586" s="44"/>
      <c r="O6586" s="44"/>
      <c r="P6586" s="44"/>
      <c r="Q6586" s="44"/>
      <c r="R6586" s="44"/>
      <c r="S6586" s="44"/>
      <c r="T6586" s="44"/>
      <c r="U6586" s="44"/>
      <c r="V6586" s="44"/>
      <c r="W6586" s="44"/>
      <c r="X6586" s="44"/>
      <c r="Y6586" s="44"/>
    </row>
    <row r="6587" spans="14:25" ht="15" customHeight="1" x14ac:dyDescent="0.25">
      <c r="N6587" s="44"/>
      <c r="O6587" s="44"/>
      <c r="P6587" s="44"/>
      <c r="Q6587" s="44"/>
      <c r="R6587" s="44"/>
      <c r="S6587" s="44"/>
      <c r="T6587" s="44"/>
      <c r="U6587" s="44"/>
      <c r="V6587" s="44"/>
      <c r="W6587" s="44"/>
      <c r="X6587" s="44"/>
      <c r="Y6587" s="44"/>
    </row>
    <row r="6588" spans="14:25" ht="15" customHeight="1" x14ac:dyDescent="0.25">
      <c r="N6588" s="44"/>
      <c r="O6588" s="44"/>
      <c r="P6588" s="44"/>
      <c r="Q6588" s="44"/>
      <c r="R6588" s="44"/>
      <c r="S6588" s="44"/>
      <c r="T6588" s="44"/>
      <c r="U6588" s="44"/>
      <c r="V6588" s="44"/>
      <c r="W6588" s="44"/>
      <c r="X6588" s="44"/>
      <c r="Y6588" s="44"/>
    </row>
    <row r="6589" spans="14:25" ht="15" customHeight="1" x14ac:dyDescent="0.25">
      <c r="N6589" s="44"/>
      <c r="O6589" s="44"/>
      <c r="P6589" s="44"/>
      <c r="Q6589" s="44"/>
      <c r="R6589" s="44"/>
      <c r="S6589" s="44"/>
      <c r="T6589" s="44"/>
      <c r="U6589" s="44"/>
      <c r="V6589" s="44"/>
      <c r="W6589" s="44"/>
      <c r="X6589" s="44"/>
      <c r="Y6589" s="44"/>
    </row>
    <row r="6590" spans="14:25" ht="15" customHeight="1" x14ac:dyDescent="0.25">
      <c r="N6590" s="44"/>
      <c r="O6590" s="44"/>
      <c r="P6590" s="44"/>
      <c r="Q6590" s="44"/>
      <c r="R6590" s="44"/>
      <c r="S6590" s="44"/>
      <c r="T6590" s="44"/>
      <c r="U6590" s="44"/>
      <c r="V6590" s="44"/>
      <c r="W6590" s="44"/>
      <c r="X6590" s="44"/>
      <c r="Y6590" s="44"/>
    </row>
    <row r="6591" spans="14:25" ht="15" customHeight="1" x14ac:dyDescent="0.25">
      <c r="N6591" s="44"/>
      <c r="O6591" s="44"/>
      <c r="P6591" s="44"/>
      <c r="Q6591" s="44"/>
      <c r="R6591" s="44"/>
      <c r="S6591" s="44"/>
      <c r="T6591" s="44"/>
      <c r="U6591" s="44"/>
      <c r="V6591" s="44"/>
      <c r="W6591" s="44"/>
      <c r="X6591" s="44"/>
      <c r="Y6591" s="44"/>
    </row>
    <row r="6592" spans="14:25" ht="15" customHeight="1" x14ac:dyDescent="0.25">
      <c r="N6592" s="44"/>
      <c r="O6592" s="44"/>
      <c r="P6592" s="44"/>
      <c r="Q6592" s="44"/>
      <c r="R6592" s="44"/>
      <c r="S6592" s="44"/>
      <c r="T6592" s="44"/>
      <c r="U6592" s="44"/>
      <c r="V6592" s="44"/>
      <c r="W6592" s="44"/>
      <c r="X6592" s="44"/>
      <c r="Y6592" s="44"/>
    </row>
    <row r="6593" spans="14:25" ht="15" customHeight="1" x14ac:dyDescent="0.25">
      <c r="N6593" s="44"/>
      <c r="O6593" s="44"/>
      <c r="P6593" s="44"/>
      <c r="Q6593" s="44"/>
      <c r="R6593" s="44"/>
      <c r="S6593" s="44"/>
      <c r="T6593" s="44"/>
      <c r="U6593" s="44"/>
      <c r="V6593" s="44"/>
      <c r="W6593" s="44"/>
      <c r="X6593" s="44"/>
      <c r="Y6593" s="44"/>
    </row>
    <row r="6594" spans="14:25" ht="15" customHeight="1" x14ac:dyDescent="0.25">
      <c r="N6594" s="44"/>
      <c r="O6594" s="44"/>
      <c r="P6594" s="44"/>
      <c r="Q6594" s="44"/>
      <c r="R6594" s="44"/>
      <c r="S6594" s="44"/>
      <c r="T6594" s="44"/>
      <c r="U6594" s="44"/>
      <c r="V6594" s="44"/>
      <c r="W6594" s="44"/>
      <c r="X6594" s="44"/>
      <c r="Y6594" s="44"/>
    </row>
    <row r="6595" spans="14:25" ht="15" customHeight="1" x14ac:dyDescent="0.25">
      <c r="N6595" s="44"/>
      <c r="O6595" s="44"/>
      <c r="P6595" s="44"/>
      <c r="Q6595" s="44"/>
      <c r="R6595" s="44"/>
      <c r="S6595" s="44"/>
      <c r="T6595" s="44"/>
      <c r="U6595" s="44"/>
      <c r="V6595" s="44"/>
      <c r="W6595" s="44"/>
      <c r="X6595" s="44"/>
      <c r="Y6595" s="44"/>
    </row>
    <row r="6596" spans="14:25" ht="15" customHeight="1" x14ac:dyDescent="0.25">
      <c r="N6596" s="44"/>
      <c r="O6596" s="44"/>
      <c r="P6596" s="44"/>
      <c r="Q6596" s="44"/>
      <c r="R6596" s="44"/>
      <c r="S6596" s="44"/>
      <c r="T6596" s="44"/>
      <c r="U6596" s="44"/>
      <c r="V6596" s="44"/>
      <c r="W6596" s="44"/>
      <c r="X6596" s="44"/>
      <c r="Y6596" s="44"/>
    </row>
    <row r="6597" spans="14:25" ht="15" customHeight="1" x14ac:dyDescent="0.25">
      <c r="N6597" s="44"/>
      <c r="O6597" s="44"/>
      <c r="P6597" s="44"/>
      <c r="Q6597" s="44"/>
      <c r="R6597" s="44"/>
      <c r="S6597" s="44"/>
      <c r="T6597" s="44"/>
      <c r="U6597" s="44"/>
      <c r="V6597" s="44"/>
      <c r="W6597" s="44"/>
      <c r="X6597" s="44"/>
      <c r="Y6597" s="44"/>
    </row>
    <row r="6598" spans="14:25" ht="15" customHeight="1" x14ac:dyDescent="0.25">
      <c r="N6598" s="44"/>
      <c r="O6598" s="44"/>
      <c r="P6598" s="44"/>
      <c r="Q6598" s="44"/>
      <c r="R6598" s="44"/>
      <c r="S6598" s="44"/>
      <c r="T6598" s="44"/>
      <c r="U6598" s="44"/>
      <c r="V6598" s="44"/>
      <c r="W6598" s="44"/>
      <c r="X6598" s="44"/>
      <c r="Y6598" s="44"/>
    </row>
    <row r="6599" spans="14:25" ht="15" customHeight="1" x14ac:dyDescent="0.25">
      <c r="N6599" s="44"/>
      <c r="O6599" s="44"/>
      <c r="P6599" s="44"/>
      <c r="Q6599" s="44"/>
      <c r="R6599" s="44"/>
      <c r="S6599" s="44"/>
      <c r="T6599" s="44"/>
      <c r="U6599" s="44"/>
      <c r="V6599" s="44"/>
      <c r="W6599" s="44"/>
      <c r="X6599" s="44"/>
      <c r="Y6599" s="44"/>
    </row>
    <row r="6600" spans="14:25" ht="15" customHeight="1" x14ac:dyDescent="0.25">
      <c r="N6600" s="44"/>
      <c r="O6600" s="44"/>
      <c r="P6600" s="44"/>
      <c r="Q6600" s="44"/>
      <c r="R6600" s="44"/>
      <c r="S6600" s="44"/>
      <c r="T6600" s="44"/>
      <c r="U6600" s="44"/>
      <c r="V6600" s="44"/>
      <c r="W6600" s="44"/>
      <c r="X6600" s="44"/>
      <c r="Y6600" s="44"/>
    </row>
    <row r="6601" spans="14:25" ht="15" customHeight="1" x14ac:dyDescent="0.25">
      <c r="N6601" s="44"/>
      <c r="O6601" s="44"/>
      <c r="P6601" s="44"/>
      <c r="Q6601" s="44"/>
      <c r="R6601" s="44"/>
      <c r="S6601" s="44"/>
      <c r="T6601" s="44"/>
      <c r="U6601" s="44"/>
      <c r="V6601" s="44"/>
      <c r="W6601" s="44"/>
      <c r="X6601" s="44"/>
      <c r="Y6601" s="44"/>
    </row>
    <row r="6602" spans="14:25" ht="15" customHeight="1" x14ac:dyDescent="0.25">
      <c r="N6602" s="44"/>
      <c r="O6602" s="44"/>
      <c r="P6602" s="44"/>
      <c r="Q6602" s="44"/>
      <c r="R6602" s="44"/>
      <c r="S6602" s="44"/>
      <c r="T6602" s="44"/>
      <c r="U6602" s="44"/>
      <c r="V6602" s="44"/>
      <c r="W6602" s="44"/>
      <c r="X6602" s="44"/>
      <c r="Y6602" s="44"/>
    </row>
    <row r="6603" spans="14:25" ht="15" customHeight="1" x14ac:dyDescent="0.25">
      <c r="N6603" s="44"/>
      <c r="O6603" s="44"/>
      <c r="P6603" s="44"/>
      <c r="Q6603" s="44"/>
      <c r="R6603" s="44"/>
      <c r="S6603" s="44"/>
      <c r="T6603" s="44"/>
      <c r="U6603" s="44"/>
      <c r="V6603" s="44"/>
      <c r="W6603" s="44"/>
      <c r="X6603" s="44"/>
      <c r="Y6603" s="44"/>
    </row>
    <row r="6604" spans="14:25" ht="15" customHeight="1" x14ac:dyDescent="0.25">
      <c r="N6604" s="44"/>
      <c r="O6604" s="44"/>
      <c r="P6604" s="44"/>
      <c r="Q6604" s="44"/>
      <c r="R6604" s="44"/>
      <c r="S6604" s="44"/>
      <c r="T6604" s="44"/>
      <c r="U6604" s="44"/>
      <c r="V6604" s="44"/>
      <c r="W6604" s="44"/>
      <c r="X6604" s="44"/>
      <c r="Y6604" s="44"/>
    </row>
    <row r="6605" spans="14:25" ht="15" customHeight="1" x14ac:dyDescent="0.25">
      <c r="N6605" s="44"/>
      <c r="O6605" s="44"/>
      <c r="P6605" s="44"/>
      <c r="Q6605" s="44"/>
      <c r="R6605" s="44"/>
      <c r="S6605" s="44"/>
      <c r="T6605" s="44"/>
      <c r="U6605" s="44"/>
      <c r="V6605" s="44"/>
      <c r="W6605" s="44"/>
      <c r="X6605" s="44"/>
      <c r="Y6605" s="44"/>
    </row>
    <row r="6606" spans="14:25" ht="15" customHeight="1" x14ac:dyDescent="0.25">
      <c r="N6606" s="44"/>
      <c r="O6606" s="44"/>
      <c r="P6606" s="44"/>
      <c r="Q6606" s="44"/>
      <c r="R6606" s="44"/>
      <c r="S6606" s="44"/>
      <c r="T6606" s="44"/>
      <c r="U6606" s="44"/>
      <c r="V6606" s="44"/>
      <c r="W6606" s="44"/>
      <c r="X6606" s="44"/>
      <c r="Y6606" s="44"/>
    </row>
    <row r="6607" spans="14:25" ht="15" customHeight="1" x14ac:dyDescent="0.25">
      <c r="N6607" s="44"/>
      <c r="O6607" s="44"/>
      <c r="P6607" s="44"/>
      <c r="Q6607" s="44"/>
      <c r="R6607" s="44"/>
      <c r="S6607" s="44"/>
      <c r="T6607" s="44"/>
      <c r="U6607" s="44"/>
      <c r="V6607" s="44"/>
      <c r="W6607" s="44"/>
      <c r="X6607" s="44"/>
      <c r="Y6607" s="44"/>
    </row>
    <row r="6608" spans="14:25" ht="15" customHeight="1" x14ac:dyDescent="0.25">
      <c r="N6608" s="44"/>
      <c r="O6608" s="44"/>
      <c r="P6608" s="44"/>
      <c r="Q6608" s="44"/>
      <c r="R6608" s="44"/>
      <c r="S6608" s="44"/>
      <c r="T6608" s="44"/>
      <c r="U6608" s="44"/>
      <c r="V6608" s="44"/>
      <c r="W6608" s="44"/>
      <c r="X6608" s="44"/>
      <c r="Y6608" s="44"/>
    </row>
    <row r="6609" spans="14:25" ht="15" customHeight="1" x14ac:dyDescent="0.25">
      <c r="N6609" s="44"/>
      <c r="O6609" s="44"/>
      <c r="P6609" s="44"/>
      <c r="Q6609" s="44"/>
      <c r="R6609" s="44"/>
      <c r="S6609" s="44"/>
      <c r="T6609" s="44"/>
      <c r="U6609" s="44"/>
      <c r="V6609" s="44"/>
      <c r="W6609" s="44"/>
      <c r="X6609" s="44"/>
      <c r="Y6609" s="44"/>
    </row>
    <row r="6610" spans="14:25" ht="15" customHeight="1" x14ac:dyDescent="0.25">
      <c r="N6610" s="44"/>
      <c r="O6610" s="44"/>
      <c r="P6610" s="44"/>
      <c r="Q6610" s="44"/>
      <c r="R6610" s="44"/>
      <c r="S6610" s="44"/>
      <c r="T6610" s="44"/>
      <c r="U6610" s="44"/>
      <c r="V6610" s="44"/>
      <c r="W6610" s="44"/>
      <c r="X6610" s="44"/>
      <c r="Y6610" s="44"/>
    </row>
    <row r="6611" spans="14:25" ht="15" customHeight="1" x14ac:dyDescent="0.25">
      <c r="N6611" s="44"/>
      <c r="O6611" s="44"/>
      <c r="P6611" s="44"/>
      <c r="Q6611" s="44"/>
      <c r="R6611" s="44"/>
      <c r="S6611" s="44"/>
      <c r="T6611" s="44"/>
      <c r="U6611" s="44"/>
      <c r="V6611" s="44"/>
      <c r="W6611" s="44"/>
      <c r="X6611" s="44"/>
      <c r="Y6611" s="44"/>
    </row>
    <row r="6612" spans="14:25" ht="15" customHeight="1" x14ac:dyDescent="0.25">
      <c r="N6612" s="44"/>
      <c r="O6612" s="44"/>
      <c r="P6612" s="44"/>
      <c r="Q6612" s="44"/>
      <c r="R6612" s="44"/>
      <c r="S6612" s="44"/>
      <c r="T6612" s="44"/>
      <c r="U6612" s="44"/>
      <c r="V6612" s="44"/>
      <c r="W6612" s="44"/>
      <c r="X6612" s="44"/>
      <c r="Y6612" s="44"/>
    </row>
    <row r="6613" spans="14:25" ht="15" customHeight="1" x14ac:dyDescent="0.25">
      <c r="N6613" s="44"/>
      <c r="O6613" s="44"/>
      <c r="P6613" s="44"/>
      <c r="Q6613" s="44"/>
      <c r="R6613" s="44"/>
      <c r="S6613" s="44"/>
      <c r="T6613" s="44"/>
      <c r="U6613" s="44"/>
      <c r="V6613" s="44"/>
      <c r="W6613" s="44"/>
      <c r="X6613" s="44"/>
      <c r="Y6613" s="44"/>
    </row>
    <row r="6614" spans="14:25" ht="15" customHeight="1" x14ac:dyDescent="0.25">
      <c r="N6614" s="44"/>
      <c r="O6614" s="44"/>
      <c r="P6614" s="44"/>
      <c r="Q6614" s="44"/>
      <c r="R6614" s="44"/>
      <c r="S6614" s="44"/>
      <c r="T6614" s="44"/>
      <c r="U6614" s="44"/>
      <c r="V6614" s="44"/>
      <c r="W6614" s="44"/>
      <c r="X6614" s="44"/>
      <c r="Y6614" s="44"/>
    </row>
    <row r="6615" spans="14:25" ht="15" customHeight="1" x14ac:dyDescent="0.25">
      <c r="N6615" s="44"/>
      <c r="O6615" s="44"/>
      <c r="P6615" s="44"/>
      <c r="Q6615" s="44"/>
      <c r="R6615" s="44"/>
      <c r="S6615" s="44"/>
      <c r="T6615" s="44"/>
      <c r="U6615" s="44"/>
      <c r="V6615" s="44"/>
      <c r="W6615" s="44"/>
      <c r="X6615" s="44"/>
      <c r="Y6615" s="44"/>
    </row>
    <row r="6616" spans="14:25" ht="15" customHeight="1" x14ac:dyDescent="0.25">
      <c r="N6616" s="44"/>
      <c r="O6616" s="44"/>
      <c r="P6616" s="44"/>
      <c r="Q6616" s="44"/>
      <c r="R6616" s="44"/>
      <c r="S6616" s="44"/>
      <c r="T6616" s="44"/>
      <c r="U6616" s="44"/>
      <c r="V6616" s="44"/>
      <c r="W6616" s="44"/>
      <c r="X6616" s="44"/>
      <c r="Y6616" s="44"/>
    </row>
    <row r="6617" spans="14:25" ht="15" customHeight="1" x14ac:dyDescent="0.25">
      <c r="N6617" s="44"/>
      <c r="O6617" s="44"/>
      <c r="P6617" s="44"/>
      <c r="Q6617" s="44"/>
      <c r="R6617" s="44"/>
      <c r="S6617" s="44"/>
      <c r="T6617" s="44"/>
      <c r="U6617" s="44"/>
      <c r="V6617" s="44"/>
      <c r="W6617" s="44"/>
      <c r="X6617" s="44"/>
      <c r="Y6617" s="44"/>
    </row>
    <row r="6618" spans="14:25" ht="15" customHeight="1" x14ac:dyDescent="0.25">
      <c r="N6618" s="44"/>
      <c r="O6618" s="44"/>
      <c r="P6618" s="44"/>
      <c r="Q6618" s="44"/>
      <c r="R6618" s="44"/>
      <c r="S6618" s="44"/>
      <c r="T6618" s="44"/>
      <c r="U6618" s="44"/>
      <c r="V6618" s="44"/>
      <c r="W6618" s="44"/>
      <c r="X6618" s="44"/>
      <c r="Y6618" s="44"/>
    </row>
    <row r="6619" spans="14:25" ht="15" customHeight="1" x14ac:dyDescent="0.25">
      <c r="N6619" s="44"/>
      <c r="O6619" s="44"/>
      <c r="P6619" s="44"/>
      <c r="Q6619" s="44"/>
      <c r="R6619" s="44"/>
      <c r="S6619" s="44"/>
      <c r="T6619" s="44"/>
      <c r="U6619" s="44"/>
      <c r="V6619" s="44"/>
      <c r="W6619" s="44"/>
      <c r="X6619" s="44"/>
      <c r="Y6619" s="44"/>
    </row>
    <row r="6620" spans="14:25" ht="15" customHeight="1" x14ac:dyDescent="0.25">
      <c r="N6620" s="44"/>
      <c r="O6620" s="44"/>
      <c r="P6620" s="44"/>
      <c r="Q6620" s="44"/>
      <c r="R6620" s="44"/>
      <c r="S6620" s="44"/>
      <c r="T6620" s="44"/>
      <c r="U6620" s="44"/>
      <c r="V6620" s="44"/>
      <c r="W6620" s="44"/>
      <c r="X6620" s="44"/>
      <c r="Y6620" s="44"/>
    </row>
    <row r="6621" spans="14:25" ht="15" customHeight="1" x14ac:dyDescent="0.25">
      <c r="N6621" s="44"/>
      <c r="O6621" s="44"/>
      <c r="P6621" s="44"/>
      <c r="Q6621" s="44"/>
      <c r="R6621" s="44"/>
      <c r="S6621" s="44"/>
      <c r="T6621" s="44"/>
      <c r="U6621" s="44"/>
      <c r="V6621" s="44"/>
      <c r="W6621" s="44"/>
      <c r="X6621" s="44"/>
      <c r="Y6621" s="44"/>
    </row>
    <row r="6622" spans="14:25" ht="15" customHeight="1" x14ac:dyDescent="0.25">
      <c r="N6622" s="44"/>
      <c r="O6622" s="44"/>
      <c r="P6622" s="44"/>
      <c r="Q6622" s="44"/>
      <c r="R6622" s="44"/>
      <c r="S6622" s="44"/>
      <c r="T6622" s="44"/>
      <c r="U6622" s="44"/>
      <c r="V6622" s="44"/>
      <c r="W6622" s="44"/>
      <c r="X6622" s="44"/>
      <c r="Y6622" s="44"/>
    </row>
    <row r="6623" spans="14:25" ht="15" customHeight="1" x14ac:dyDescent="0.25">
      <c r="N6623" s="44"/>
      <c r="O6623" s="44"/>
      <c r="P6623" s="44"/>
      <c r="Q6623" s="44"/>
      <c r="R6623" s="44"/>
      <c r="S6623" s="44"/>
      <c r="T6623" s="44"/>
      <c r="U6623" s="44"/>
      <c r="V6623" s="44"/>
      <c r="W6623" s="44"/>
      <c r="X6623" s="44"/>
      <c r="Y6623" s="44"/>
    </row>
    <row r="6624" spans="14:25" ht="15" customHeight="1" x14ac:dyDescent="0.25">
      <c r="N6624" s="44"/>
      <c r="O6624" s="44"/>
      <c r="P6624" s="44"/>
      <c r="Q6624" s="44"/>
      <c r="R6624" s="44"/>
      <c r="S6624" s="44"/>
      <c r="T6624" s="44"/>
      <c r="U6624" s="44"/>
      <c r="V6624" s="44"/>
      <c r="W6624" s="44"/>
      <c r="X6624" s="44"/>
      <c r="Y6624" s="44"/>
    </row>
    <row r="6625" spans="14:25" ht="15" customHeight="1" x14ac:dyDescent="0.25">
      <c r="N6625" s="44"/>
      <c r="O6625" s="44"/>
      <c r="P6625" s="44"/>
      <c r="Q6625" s="44"/>
      <c r="R6625" s="44"/>
      <c r="S6625" s="44"/>
      <c r="T6625" s="44"/>
      <c r="U6625" s="44"/>
      <c r="V6625" s="44"/>
      <c r="W6625" s="44"/>
      <c r="X6625" s="44"/>
      <c r="Y6625" s="44"/>
    </row>
    <row r="6626" spans="14:25" ht="15" customHeight="1" x14ac:dyDescent="0.25">
      <c r="N6626" s="44"/>
      <c r="O6626" s="44"/>
      <c r="P6626" s="44"/>
      <c r="Q6626" s="44"/>
      <c r="R6626" s="44"/>
      <c r="S6626" s="44"/>
      <c r="T6626" s="44"/>
      <c r="U6626" s="44"/>
      <c r="V6626" s="44"/>
      <c r="W6626" s="44"/>
      <c r="X6626" s="44"/>
      <c r="Y6626" s="44"/>
    </row>
    <row r="6627" spans="14:25" ht="15" customHeight="1" x14ac:dyDescent="0.25">
      <c r="N6627" s="44"/>
      <c r="O6627" s="44"/>
      <c r="P6627" s="44"/>
      <c r="Q6627" s="44"/>
      <c r="R6627" s="44"/>
      <c r="S6627" s="44"/>
      <c r="T6627" s="44"/>
      <c r="U6627" s="44"/>
      <c r="V6627" s="44"/>
      <c r="W6627" s="44"/>
      <c r="X6627" s="44"/>
      <c r="Y6627" s="44"/>
    </row>
    <row r="6628" spans="14:25" ht="15" customHeight="1" x14ac:dyDescent="0.25">
      <c r="N6628" s="44"/>
      <c r="O6628" s="44"/>
      <c r="P6628" s="44"/>
      <c r="Q6628" s="44"/>
      <c r="R6628" s="44"/>
      <c r="S6628" s="44"/>
      <c r="T6628" s="44"/>
      <c r="U6628" s="44"/>
      <c r="V6628" s="44"/>
      <c r="W6628" s="44"/>
      <c r="X6628" s="44"/>
      <c r="Y6628" s="44"/>
    </row>
    <row r="6629" spans="14:25" ht="15" customHeight="1" x14ac:dyDescent="0.25">
      <c r="N6629" s="44"/>
      <c r="O6629" s="44"/>
      <c r="P6629" s="44"/>
      <c r="Q6629" s="44"/>
      <c r="R6629" s="44"/>
      <c r="S6629" s="44"/>
      <c r="T6629" s="44"/>
      <c r="U6629" s="44"/>
      <c r="V6629" s="44"/>
      <c r="W6629" s="44"/>
      <c r="X6629" s="44"/>
      <c r="Y6629" s="44"/>
    </row>
    <row r="6630" spans="14:25" ht="15" customHeight="1" x14ac:dyDescent="0.25">
      <c r="N6630" s="44"/>
      <c r="O6630" s="44"/>
      <c r="P6630" s="44"/>
      <c r="Q6630" s="44"/>
      <c r="R6630" s="44"/>
      <c r="S6630" s="44"/>
      <c r="T6630" s="44"/>
      <c r="U6630" s="44"/>
      <c r="V6630" s="44"/>
      <c r="W6630" s="44"/>
      <c r="X6630" s="44"/>
      <c r="Y6630" s="44"/>
    </row>
    <row r="6631" spans="14:25" ht="15" customHeight="1" x14ac:dyDescent="0.25">
      <c r="N6631" s="44"/>
      <c r="O6631" s="44"/>
      <c r="P6631" s="44"/>
      <c r="Q6631" s="44"/>
      <c r="R6631" s="44"/>
      <c r="S6631" s="44"/>
      <c r="T6631" s="44"/>
      <c r="U6631" s="44"/>
      <c r="V6631" s="44"/>
      <c r="W6631" s="44"/>
      <c r="X6631" s="44"/>
      <c r="Y6631" s="44"/>
    </row>
    <row r="6632" spans="14:25" ht="15" customHeight="1" x14ac:dyDescent="0.25">
      <c r="N6632" s="44"/>
      <c r="O6632" s="44"/>
      <c r="P6632" s="44"/>
      <c r="Q6632" s="44"/>
      <c r="R6632" s="44"/>
      <c r="S6632" s="44"/>
      <c r="T6632" s="44"/>
      <c r="U6632" s="44"/>
      <c r="V6632" s="44"/>
      <c r="W6632" s="44"/>
      <c r="X6632" s="44"/>
      <c r="Y6632" s="44"/>
    </row>
    <row r="6633" spans="14:25" ht="15" customHeight="1" x14ac:dyDescent="0.25">
      <c r="N6633" s="44"/>
      <c r="O6633" s="44"/>
      <c r="P6633" s="44"/>
      <c r="Q6633" s="44"/>
      <c r="R6633" s="44"/>
      <c r="S6633" s="44"/>
      <c r="T6633" s="44"/>
      <c r="U6633" s="44"/>
      <c r="V6633" s="44"/>
      <c r="W6633" s="44"/>
      <c r="X6633" s="44"/>
      <c r="Y6633" s="44"/>
    </row>
    <row r="6634" spans="14:25" ht="15" customHeight="1" x14ac:dyDescent="0.25">
      <c r="N6634" s="44"/>
      <c r="O6634" s="44"/>
      <c r="P6634" s="44"/>
      <c r="Q6634" s="44"/>
      <c r="R6634" s="44"/>
      <c r="S6634" s="44"/>
      <c r="T6634" s="44"/>
      <c r="U6634" s="44"/>
      <c r="V6634" s="44"/>
      <c r="W6634" s="44"/>
      <c r="X6634" s="44"/>
      <c r="Y6634" s="44"/>
    </row>
    <row r="6635" spans="14:25" ht="15" customHeight="1" x14ac:dyDescent="0.25">
      <c r="N6635" s="44"/>
      <c r="O6635" s="44"/>
      <c r="P6635" s="44"/>
      <c r="Q6635" s="44"/>
      <c r="R6635" s="44"/>
      <c r="S6635" s="44"/>
      <c r="T6635" s="44"/>
      <c r="U6635" s="44"/>
      <c r="V6635" s="44"/>
      <c r="W6635" s="44"/>
      <c r="X6635" s="44"/>
      <c r="Y6635" s="44"/>
    </row>
    <row r="6636" spans="14:25" ht="15" customHeight="1" x14ac:dyDescent="0.25">
      <c r="N6636" s="44"/>
      <c r="O6636" s="44"/>
      <c r="P6636" s="44"/>
      <c r="Q6636" s="44"/>
      <c r="R6636" s="44"/>
      <c r="S6636" s="44"/>
      <c r="T6636" s="44"/>
      <c r="U6636" s="44"/>
      <c r="V6636" s="44"/>
      <c r="W6636" s="44"/>
      <c r="X6636" s="44"/>
      <c r="Y6636" s="44"/>
    </row>
    <row r="6637" spans="14:25" ht="15" customHeight="1" x14ac:dyDescent="0.25">
      <c r="N6637" s="44"/>
      <c r="O6637" s="44"/>
      <c r="P6637" s="44"/>
      <c r="Q6637" s="44"/>
      <c r="R6637" s="44"/>
      <c r="S6637" s="44"/>
      <c r="T6637" s="44"/>
      <c r="U6637" s="44"/>
      <c r="V6637" s="44"/>
      <c r="W6637" s="44"/>
      <c r="X6637" s="44"/>
      <c r="Y6637" s="44"/>
    </row>
    <row r="6638" spans="14:25" ht="15" customHeight="1" x14ac:dyDescent="0.25">
      <c r="N6638" s="44"/>
      <c r="O6638" s="44"/>
      <c r="P6638" s="44"/>
      <c r="Q6638" s="44"/>
      <c r="R6638" s="44"/>
      <c r="S6638" s="44"/>
      <c r="T6638" s="44"/>
      <c r="U6638" s="44"/>
      <c r="V6638" s="44"/>
      <c r="W6638" s="44"/>
      <c r="X6638" s="44"/>
      <c r="Y6638" s="44"/>
    </row>
    <row r="6639" spans="14:25" ht="15" customHeight="1" x14ac:dyDescent="0.25">
      <c r="N6639" s="44"/>
      <c r="O6639" s="44"/>
      <c r="P6639" s="44"/>
      <c r="Q6639" s="44"/>
      <c r="R6639" s="44"/>
      <c r="S6639" s="44"/>
      <c r="T6639" s="44"/>
      <c r="U6639" s="44"/>
      <c r="V6639" s="44"/>
      <c r="W6639" s="44"/>
      <c r="X6639" s="44"/>
      <c r="Y6639" s="44"/>
    </row>
    <row r="6640" spans="14:25" ht="15" customHeight="1" x14ac:dyDescent="0.25">
      <c r="N6640" s="44"/>
      <c r="O6640" s="44"/>
      <c r="P6640" s="44"/>
      <c r="Q6640" s="44"/>
      <c r="R6640" s="44"/>
      <c r="S6640" s="44"/>
      <c r="T6640" s="44"/>
      <c r="U6640" s="44"/>
      <c r="V6640" s="44"/>
      <c r="W6640" s="44"/>
      <c r="X6640" s="44"/>
      <c r="Y6640" s="44"/>
    </row>
    <row r="6641" spans="14:25" ht="15" customHeight="1" x14ac:dyDescent="0.25">
      <c r="N6641" s="44"/>
      <c r="O6641" s="44"/>
      <c r="P6641" s="44"/>
      <c r="Q6641" s="44"/>
      <c r="R6641" s="44"/>
      <c r="S6641" s="44"/>
      <c r="T6641" s="44"/>
      <c r="U6641" s="44"/>
      <c r="V6641" s="44"/>
      <c r="W6641" s="44"/>
      <c r="X6641" s="44"/>
      <c r="Y6641" s="44"/>
    </row>
    <row r="6642" spans="14:25" ht="15" customHeight="1" x14ac:dyDescent="0.25">
      <c r="N6642" s="44"/>
      <c r="O6642" s="44"/>
      <c r="P6642" s="44"/>
      <c r="Q6642" s="44"/>
      <c r="R6642" s="44"/>
      <c r="S6642" s="44"/>
      <c r="T6642" s="44"/>
      <c r="U6642" s="44"/>
      <c r="V6642" s="44"/>
      <c r="W6642" s="44"/>
      <c r="X6642" s="44"/>
      <c r="Y6642" s="44"/>
    </row>
    <row r="6643" spans="14:25" ht="15" customHeight="1" x14ac:dyDescent="0.25">
      <c r="N6643" s="44"/>
      <c r="O6643" s="44"/>
      <c r="P6643" s="44"/>
      <c r="Q6643" s="44"/>
      <c r="R6643" s="44"/>
      <c r="S6643" s="44"/>
      <c r="T6643" s="44"/>
      <c r="U6643" s="44"/>
      <c r="V6643" s="44"/>
      <c r="W6643" s="44"/>
      <c r="X6643" s="44"/>
      <c r="Y6643" s="44"/>
    </row>
    <row r="6644" spans="14:25" ht="15" customHeight="1" x14ac:dyDescent="0.25">
      <c r="N6644" s="44"/>
      <c r="O6644" s="44"/>
      <c r="P6644" s="44"/>
      <c r="Q6644" s="44"/>
      <c r="R6644" s="44"/>
      <c r="S6644" s="44"/>
      <c r="T6644" s="44"/>
      <c r="U6644" s="44"/>
      <c r="V6644" s="44"/>
      <c r="W6644" s="44"/>
      <c r="X6644" s="44"/>
      <c r="Y6644" s="44"/>
    </row>
    <row r="6645" spans="14:25" ht="15" customHeight="1" x14ac:dyDescent="0.25">
      <c r="N6645" s="44"/>
      <c r="O6645" s="44"/>
      <c r="P6645" s="44"/>
      <c r="Q6645" s="44"/>
      <c r="R6645" s="44"/>
      <c r="S6645" s="44"/>
      <c r="T6645" s="44"/>
      <c r="U6645" s="44"/>
      <c r="V6645" s="44"/>
      <c r="W6645" s="44"/>
      <c r="X6645" s="44"/>
      <c r="Y6645" s="44"/>
    </row>
    <row r="6646" spans="14:25" ht="15" customHeight="1" x14ac:dyDescent="0.25">
      <c r="N6646" s="44"/>
      <c r="O6646" s="44"/>
      <c r="P6646" s="44"/>
      <c r="Q6646" s="44"/>
      <c r="R6646" s="44"/>
      <c r="S6646" s="44"/>
      <c r="T6646" s="44"/>
      <c r="U6646" s="44"/>
      <c r="V6646" s="44"/>
      <c r="W6646" s="44"/>
      <c r="X6646" s="44"/>
      <c r="Y6646" s="44"/>
    </row>
    <row r="6647" spans="14:25" ht="15" customHeight="1" x14ac:dyDescent="0.25">
      <c r="N6647" s="44"/>
      <c r="O6647" s="44"/>
      <c r="P6647" s="44"/>
      <c r="Q6647" s="44"/>
      <c r="R6647" s="44"/>
      <c r="S6647" s="44"/>
      <c r="T6647" s="44"/>
      <c r="U6647" s="44"/>
      <c r="V6647" s="44"/>
      <c r="W6647" s="44"/>
      <c r="X6647" s="44"/>
      <c r="Y6647" s="44"/>
    </row>
    <row r="6648" spans="14:25" ht="15" customHeight="1" x14ac:dyDescent="0.25">
      <c r="N6648" s="44"/>
      <c r="O6648" s="44"/>
      <c r="P6648" s="44"/>
      <c r="Q6648" s="44"/>
      <c r="R6648" s="44"/>
      <c r="S6648" s="44"/>
      <c r="T6648" s="44"/>
      <c r="U6648" s="44"/>
      <c r="V6648" s="44"/>
      <c r="W6648" s="44"/>
      <c r="X6648" s="44"/>
      <c r="Y6648" s="44"/>
    </row>
    <row r="6649" spans="14:25" ht="15" customHeight="1" x14ac:dyDescent="0.25">
      <c r="N6649" s="44"/>
      <c r="O6649" s="44"/>
      <c r="P6649" s="44"/>
      <c r="Q6649" s="44"/>
      <c r="R6649" s="44"/>
      <c r="S6649" s="44"/>
      <c r="T6649" s="44"/>
      <c r="U6649" s="44"/>
      <c r="V6649" s="44"/>
      <c r="W6649" s="44"/>
      <c r="X6649" s="44"/>
      <c r="Y6649" s="44"/>
    </row>
    <row r="6650" spans="14:25" ht="15" customHeight="1" x14ac:dyDescent="0.25">
      <c r="N6650" s="44"/>
      <c r="O6650" s="44"/>
      <c r="P6650" s="44"/>
      <c r="Q6650" s="44"/>
      <c r="R6650" s="44"/>
      <c r="S6650" s="44"/>
      <c r="T6650" s="44"/>
      <c r="U6650" s="44"/>
      <c r="V6650" s="44"/>
      <c r="W6650" s="44"/>
      <c r="X6650" s="44"/>
      <c r="Y6650" s="44"/>
    </row>
    <row r="6651" spans="14:25" ht="15" customHeight="1" x14ac:dyDescent="0.25">
      <c r="N6651" s="44"/>
      <c r="O6651" s="44"/>
      <c r="P6651" s="44"/>
      <c r="Q6651" s="44"/>
      <c r="R6651" s="44"/>
      <c r="S6651" s="44"/>
      <c r="T6651" s="44"/>
      <c r="U6651" s="44"/>
      <c r="V6651" s="44"/>
      <c r="W6651" s="44"/>
      <c r="X6651" s="44"/>
      <c r="Y6651" s="44"/>
    </row>
    <row r="6652" spans="14:25" ht="15" customHeight="1" x14ac:dyDescent="0.25">
      <c r="N6652" s="44"/>
      <c r="O6652" s="44"/>
      <c r="P6652" s="44"/>
      <c r="Q6652" s="44"/>
      <c r="R6652" s="44"/>
      <c r="S6652" s="44"/>
      <c r="T6652" s="44"/>
      <c r="U6652" s="44"/>
      <c r="V6652" s="44"/>
      <c r="W6652" s="44"/>
      <c r="X6652" s="44"/>
      <c r="Y6652" s="44"/>
    </row>
    <row r="6653" spans="14:25" ht="15" customHeight="1" x14ac:dyDescent="0.25">
      <c r="N6653" s="44"/>
      <c r="O6653" s="44"/>
      <c r="P6653" s="44"/>
      <c r="Q6653" s="44"/>
      <c r="R6653" s="44"/>
      <c r="S6653" s="44"/>
      <c r="T6653" s="44"/>
      <c r="U6653" s="44"/>
      <c r="V6653" s="44"/>
      <c r="W6653" s="44"/>
      <c r="X6653" s="44"/>
      <c r="Y6653" s="44"/>
    </row>
    <row r="6654" spans="14:25" ht="15" customHeight="1" x14ac:dyDescent="0.25">
      <c r="N6654" s="44"/>
      <c r="O6654" s="44"/>
      <c r="P6654" s="44"/>
      <c r="Q6654" s="44"/>
      <c r="R6654" s="44"/>
      <c r="S6654" s="44"/>
      <c r="T6654" s="44"/>
      <c r="U6654" s="44"/>
      <c r="V6654" s="44"/>
      <c r="W6654" s="44"/>
      <c r="X6654" s="44"/>
      <c r="Y6654" s="44"/>
    </row>
    <row r="6655" spans="14:25" ht="15" customHeight="1" x14ac:dyDescent="0.25">
      <c r="N6655" s="44"/>
      <c r="O6655" s="44"/>
      <c r="P6655" s="44"/>
      <c r="Q6655" s="44"/>
      <c r="R6655" s="44"/>
      <c r="S6655" s="44"/>
      <c r="T6655" s="44"/>
      <c r="U6655" s="44"/>
      <c r="V6655" s="44"/>
      <c r="W6655" s="44"/>
      <c r="X6655" s="44"/>
      <c r="Y6655" s="44"/>
    </row>
    <row r="6656" spans="14:25" ht="15" customHeight="1" x14ac:dyDescent="0.25">
      <c r="N6656" s="44"/>
      <c r="O6656" s="44"/>
      <c r="P6656" s="44"/>
      <c r="Q6656" s="44"/>
      <c r="R6656" s="44"/>
      <c r="S6656" s="44"/>
      <c r="T6656" s="44"/>
      <c r="U6656" s="44"/>
      <c r="V6656" s="44"/>
      <c r="W6656" s="44"/>
      <c r="X6656" s="44"/>
      <c r="Y6656" s="44"/>
    </row>
    <row r="6657" spans="14:25" ht="15" customHeight="1" x14ac:dyDescent="0.25">
      <c r="N6657" s="44"/>
      <c r="O6657" s="44"/>
      <c r="P6657" s="44"/>
      <c r="Q6657" s="44"/>
      <c r="R6657" s="44"/>
      <c r="S6657" s="44"/>
      <c r="T6657" s="44"/>
      <c r="U6657" s="44"/>
      <c r="V6657" s="44"/>
      <c r="W6657" s="44"/>
      <c r="X6657" s="44"/>
      <c r="Y6657" s="44"/>
    </row>
    <row r="6658" spans="14:25" ht="15" customHeight="1" x14ac:dyDescent="0.25">
      <c r="N6658" s="44"/>
      <c r="O6658" s="44"/>
      <c r="P6658" s="44"/>
      <c r="Q6658" s="44"/>
      <c r="R6658" s="44"/>
      <c r="S6658" s="44"/>
      <c r="T6658" s="44"/>
      <c r="U6658" s="44"/>
      <c r="V6658" s="44"/>
      <c r="W6658" s="44"/>
      <c r="X6658" s="44"/>
      <c r="Y6658" s="44"/>
    </row>
    <row r="6659" spans="14:25" ht="15" customHeight="1" x14ac:dyDescent="0.25">
      <c r="N6659" s="44"/>
      <c r="O6659" s="44"/>
      <c r="P6659" s="44"/>
      <c r="Q6659" s="44"/>
      <c r="R6659" s="44"/>
      <c r="S6659" s="44"/>
      <c r="T6659" s="44"/>
      <c r="U6659" s="44"/>
      <c r="V6659" s="44"/>
      <c r="W6659" s="44"/>
      <c r="X6659" s="44"/>
      <c r="Y6659" s="44"/>
    </row>
    <row r="6660" spans="14:25" ht="15" customHeight="1" x14ac:dyDescent="0.25">
      <c r="N6660" s="44"/>
      <c r="O6660" s="44"/>
      <c r="P6660" s="44"/>
      <c r="Q6660" s="44"/>
      <c r="R6660" s="44"/>
      <c r="S6660" s="44"/>
      <c r="T6660" s="44"/>
      <c r="U6660" s="44"/>
      <c r="V6660" s="44"/>
      <c r="W6660" s="44"/>
      <c r="X6660" s="44"/>
      <c r="Y6660" s="44"/>
    </row>
    <row r="6661" spans="14:25" ht="15" customHeight="1" x14ac:dyDescent="0.25">
      <c r="N6661" s="44"/>
      <c r="O6661" s="44"/>
      <c r="P6661" s="44"/>
      <c r="Q6661" s="44"/>
      <c r="R6661" s="44"/>
      <c r="S6661" s="44"/>
      <c r="T6661" s="44"/>
      <c r="U6661" s="44"/>
      <c r="V6661" s="44"/>
      <c r="W6661" s="44"/>
      <c r="X6661" s="44"/>
      <c r="Y6661" s="44"/>
    </row>
    <row r="6662" spans="14:25" ht="15" customHeight="1" x14ac:dyDescent="0.25">
      <c r="N6662" s="44"/>
      <c r="O6662" s="44"/>
      <c r="P6662" s="44"/>
      <c r="Q6662" s="44"/>
      <c r="R6662" s="44"/>
      <c r="S6662" s="44"/>
      <c r="T6662" s="44"/>
      <c r="U6662" s="44"/>
      <c r="V6662" s="44"/>
      <c r="W6662" s="44"/>
      <c r="X6662" s="44"/>
      <c r="Y6662" s="44"/>
    </row>
    <row r="6663" spans="14:25" ht="15" customHeight="1" x14ac:dyDescent="0.25">
      <c r="N6663" s="44"/>
      <c r="O6663" s="44"/>
      <c r="P6663" s="44"/>
      <c r="Q6663" s="44"/>
      <c r="R6663" s="44"/>
      <c r="S6663" s="44"/>
      <c r="T6663" s="44"/>
      <c r="U6663" s="44"/>
      <c r="V6663" s="44"/>
      <c r="W6663" s="44"/>
      <c r="X6663" s="44"/>
      <c r="Y6663" s="44"/>
    </row>
    <row r="6664" spans="14:25" ht="15" customHeight="1" x14ac:dyDescent="0.25">
      <c r="N6664" s="44"/>
      <c r="O6664" s="44"/>
      <c r="P6664" s="44"/>
      <c r="Q6664" s="44"/>
      <c r="R6664" s="44"/>
      <c r="S6664" s="44"/>
      <c r="T6664" s="44"/>
      <c r="U6664" s="44"/>
      <c r="V6664" s="44"/>
      <c r="W6664" s="44"/>
      <c r="X6664" s="44"/>
      <c r="Y6664" s="44"/>
    </row>
    <row r="6665" spans="14:25" ht="15" customHeight="1" x14ac:dyDescent="0.25">
      <c r="N6665" s="44"/>
      <c r="O6665" s="44"/>
      <c r="P6665" s="44"/>
      <c r="Q6665" s="44"/>
      <c r="R6665" s="44"/>
      <c r="S6665" s="44"/>
      <c r="T6665" s="44"/>
      <c r="U6665" s="44"/>
      <c r="V6665" s="44"/>
      <c r="W6665" s="44"/>
      <c r="X6665" s="44"/>
      <c r="Y6665" s="44"/>
    </row>
    <row r="6666" spans="14:25" ht="15" customHeight="1" x14ac:dyDescent="0.25">
      <c r="N6666" s="44"/>
      <c r="O6666" s="44"/>
      <c r="P6666" s="44"/>
      <c r="Q6666" s="44"/>
      <c r="R6666" s="44"/>
      <c r="S6666" s="44"/>
      <c r="T6666" s="44"/>
      <c r="U6666" s="44"/>
      <c r="V6666" s="44"/>
      <c r="W6666" s="44"/>
      <c r="X6666" s="44"/>
      <c r="Y6666" s="44"/>
    </row>
    <row r="6667" spans="14:25" ht="15" customHeight="1" x14ac:dyDescent="0.25">
      <c r="N6667" s="44"/>
      <c r="O6667" s="44"/>
      <c r="P6667" s="44"/>
      <c r="Q6667" s="44"/>
      <c r="R6667" s="44"/>
      <c r="S6667" s="44"/>
      <c r="T6667" s="44"/>
      <c r="U6667" s="44"/>
      <c r="V6667" s="44"/>
      <c r="W6667" s="44"/>
      <c r="X6667" s="44"/>
      <c r="Y6667" s="44"/>
    </row>
    <row r="6668" spans="14:25" ht="15" customHeight="1" x14ac:dyDescent="0.25">
      <c r="N6668" s="44"/>
      <c r="O6668" s="44"/>
      <c r="P6668" s="44"/>
      <c r="Q6668" s="44"/>
      <c r="R6668" s="44"/>
      <c r="S6668" s="44"/>
      <c r="T6668" s="44"/>
      <c r="U6668" s="44"/>
      <c r="V6668" s="44"/>
      <c r="W6668" s="44"/>
      <c r="X6668" s="44"/>
      <c r="Y6668" s="44"/>
    </row>
    <row r="6669" spans="14:25" ht="15" customHeight="1" x14ac:dyDescent="0.25">
      <c r="N6669" s="44"/>
      <c r="O6669" s="44"/>
      <c r="P6669" s="44"/>
      <c r="Q6669" s="44"/>
      <c r="R6669" s="44"/>
      <c r="S6669" s="44"/>
      <c r="T6669" s="44"/>
      <c r="U6669" s="44"/>
      <c r="V6669" s="44"/>
      <c r="W6669" s="44"/>
      <c r="X6669" s="44"/>
      <c r="Y6669" s="44"/>
    </row>
    <row r="6670" spans="14:25" ht="15" customHeight="1" x14ac:dyDescent="0.25">
      <c r="N6670" s="44"/>
      <c r="O6670" s="44"/>
      <c r="P6670" s="44"/>
      <c r="Q6670" s="44"/>
      <c r="R6670" s="44"/>
      <c r="S6670" s="44"/>
      <c r="T6670" s="44"/>
      <c r="U6670" s="44"/>
      <c r="V6670" s="44"/>
      <c r="W6670" s="44"/>
      <c r="X6670" s="44"/>
      <c r="Y6670" s="44"/>
    </row>
    <row r="6671" spans="14:25" ht="15" customHeight="1" x14ac:dyDescent="0.25">
      <c r="N6671" s="44"/>
      <c r="O6671" s="44"/>
      <c r="P6671" s="44"/>
      <c r="Q6671" s="44"/>
      <c r="R6671" s="44"/>
      <c r="S6671" s="44"/>
      <c r="T6671" s="44"/>
      <c r="U6671" s="44"/>
      <c r="V6671" s="44"/>
      <c r="W6671" s="44"/>
      <c r="X6671" s="44"/>
      <c r="Y6671" s="44"/>
    </row>
    <row r="6672" spans="14:25" ht="15" customHeight="1" x14ac:dyDescent="0.25">
      <c r="N6672" s="44"/>
      <c r="O6672" s="44"/>
      <c r="P6672" s="44"/>
      <c r="Q6672" s="44"/>
      <c r="R6672" s="44"/>
      <c r="S6672" s="44"/>
      <c r="T6672" s="44"/>
      <c r="U6672" s="44"/>
      <c r="V6672" s="44"/>
      <c r="W6672" s="44"/>
      <c r="X6672" s="44"/>
      <c r="Y6672" s="44"/>
    </row>
    <row r="6673" spans="14:25" ht="15" customHeight="1" x14ac:dyDescent="0.25">
      <c r="N6673" s="44"/>
      <c r="O6673" s="44"/>
      <c r="P6673" s="44"/>
      <c r="Q6673" s="44"/>
      <c r="R6673" s="44"/>
      <c r="S6673" s="44"/>
      <c r="T6673" s="44"/>
      <c r="U6673" s="44"/>
      <c r="V6673" s="44"/>
      <c r="W6673" s="44"/>
      <c r="X6673" s="44"/>
      <c r="Y6673" s="44"/>
    </row>
    <row r="6674" spans="14:25" ht="15" customHeight="1" x14ac:dyDescent="0.25">
      <c r="N6674" s="44"/>
      <c r="O6674" s="44"/>
      <c r="P6674" s="44"/>
      <c r="Q6674" s="44"/>
      <c r="R6674" s="44"/>
      <c r="S6674" s="44"/>
      <c r="T6674" s="44"/>
      <c r="U6674" s="44"/>
      <c r="V6674" s="44"/>
      <c r="W6674" s="44"/>
      <c r="X6674" s="44"/>
      <c r="Y6674" s="44"/>
    </row>
    <row r="6675" spans="14:25" ht="15" customHeight="1" x14ac:dyDescent="0.25">
      <c r="N6675" s="44"/>
      <c r="O6675" s="44"/>
      <c r="P6675" s="44"/>
      <c r="Q6675" s="44"/>
      <c r="R6675" s="44"/>
      <c r="S6675" s="44"/>
      <c r="T6675" s="44"/>
      <c r="U6675" s="44"/>
      <c r="V6675" s="44"/>
      <c r="W6675" s="44"/>
      <c r="X6675" s="44"/>
      <c r="Y6675" s="44"/>
    </row>
    <row r="6676" spans="14:25" ht="15" customHeight="1" x14ac:dyDescent="0.25">
      <c r="N6676" s="44"/>
      <c r="O6676" s="44"/>
      <c r="P6676" s="44"/>
      <c r="Q6676" s="44"/>
      <c r="R6676" s="44"/>
      <c r="S6676" s="44"/>
      <c r="T6676" s="44"/>
      <c r="U6676" s="44"/>
      <c r="V6676" s="44"/>
      <c r="W6676" s="44"/>
      <c r="X6676" s="44"/>
      <c r="Y6676" s="44"/>
    </row>
    <row r="6677" spans="14:25" ht="15" customHeight="1" x14ac:dyDescent="0.25">
      <c r="N6677" s="44"/>
      <c r="O6677" s="44"/>
      <c r="P6677" s="44"/>
      <c r="Q6677" s="44"/>
      <c r="R6677" s="44"/>
      <c r="S6677" s="44"/>
      <c r="T6677" s="44"/>
      <c r="U6677" s="44"/>
      <c r="V6677" s="44"/>
      <c r="W6677" s="44"/>
      <c r="X6677" s="44"/>
      <c r="Y6677" s="44"/>
    </row>
    <row r="6678" spans="14:25" ht="15" customHeight="1" x14ac:dyDescent="0.25">
      <c r="N6678" s="44"/>
      <c r="O6678" s="44"/>
      <c r="P6678" s="44"/>
      <c r="Q6678" s="44"/>
      <c r="R6678" s="44"/>
      <c r="S6678" s="44"/>
      <c r="T6678" s="44"/>
      <c r="U6678" s="44"/>
      <c r="V6678" s="44"/>
      <c r="W6678" s="44"/>
      <c r="X6678" s="44"/>
      <c r="Y6678" s="44"/>
    </row>
    <row r="6679" spans="14:25" ht="15" customHeight="1" x14ac:dyDescent="0.25">
      <c r="N6679" s="44"/>
      <c r="O6679" s="44"/>
      <c r="P6679" s="44"/>
      <c r="Q6679" s="44"/>
      <c r="R6679" s="44"/>
      <c r="S6679" s="44"/>
      <c r="T6679" s="44"/>
      <c r="U6679" s="44"/>
      <c r="V6679" s="44"/>
      <c r="W6679" s="44"/>
      <c r="X6679" s="44"/>
      <c r="Y6679" s="44"/>
    </row>
    <row r="6680" spans="14:25" ht="15" customHeight="1" x14ac:dyDescent="0.25">
      <c r="N6680" s="44"/>
      <c r="O6680" s="44"/>
      <c r="P6680" s="44"/>
      <c r="Q6680" s="44"/>
      <c r="R6680" s="44"/>
      <c r="S6680" s="44"/>
      <c r="T6680" s="44"/>
      <c r="U6680" s="44"/>
      <c r="V6680" s="44"/>
      <c r="W6680" s="44"/>
      <c r="X6680" s="44"/>
      <c r="Y6680" s="44"/>
    </row>
    <row r="6681" spans="14:25" ht="15" customHeight="1" x14ac:dyDescent="0.25">
      <c r="N6681" s="44"/>
      <c r="O6681" s="44"/>
      <c r="P6681" s="44"/>
      <c r="Q6681" s="44"/>
      <c r="R6681" s="44"/>
      <c r="S6681" s="44"/>
      <c r="T6681" s="44"/>
      <c r="U6681" s="44"/>
      <c r="V6681" s="44"/>
      <c r="W6681" s="44"/>
      <c r="X6681" s="44"/>
      <c r="Y6681" s="44"/>
    </row>
    <row r="6682" spans="14:25" ht="15" customHeight="1" x14ac:dyDescent="0.25">
      <c r="N6682" s="44"/>
      <c r="O6682" s="44"/>
      <c r="P6682" s="44"/>
      <c r="Q6682" s="44"/>
      <c r="R6682" s="44"/>
      <c r="S6682" s="44"/>
      <c r="T6682" s="44"/>
      <c r="U6682" s="44"/>
      <c r="V6682" s="44"/>
      <c r="W6682" s="44"/>
      <c r="X6682" s="44"/>
      <c r="Y6682" s="44"/>
    </row>
    <row r="6683" spans="14:25" ht="15" customHeight="1" x14ac:dyDescent="0.25">
      <c r="N6683" s="44"/>
      <c r="O6683" s="44"/>
      <c r="P6683" s="44"/>
      <c r="Q6683" s="44"/>
      <c r="R6683" s="44"/>
      <c r="S6683" s="44"/>
      <c r="T6683" s="44"/>
      <c r="U6683" s="44"/>
      <c r="V6683" s="44"/>
      <c r="W6683" s="44"/>
      <c r="X6683" s="44"/>
      <c r="Y6683" s="44"/>
    </row>
    <row r="6684" spans="14:25" ht="15" customHeight="1" x14ac:dyDescent="0.25">
      <c r="N6684" s="44"/>
      <c r="O6684" s="44"/>
      <c r="P6684" s="44"/>
      <c r="Q6684" s="44"/>
      <c r="R6684" s="44"/>
      <c r="S6684" s="44"/>
      <c r="T6684" s="44"/>
      <c r="U6684" s="44"/>
      <c r="V6684" s="44"/>
      <c r="W6684" s="44"/>
      <c r="X6684" s="44"/>
      <c r="Y6684" s="44"/>
    </row>
    <row r="6685" spans="14:25" ht="15" customHeight="1" x14ac:dyDescent="0.25">
      <c r="N6685" s="44"/>
      <c r="O6685" s="44"/>
      <c r="P6685" s="44"/>
      <c r="Q6685" s="44"/>
      <c r="R6685" s="44"/>
      <c r="S6685" s="44"/>
      <c r="T6685" s="44"/>
      <c r="U6685" s="44"/>
      <c r="V6685" s="44"/>
      <c r="W6685" s="44"/>
      <c r="X6685" s="44"/>
      <c r="Y6685" s="44"/>
    </row>
    <row r="6686" spans="14:25" ht="15" customHeight="1" x14ac:dyDescent="0.25">
      <c r="N6686" s="44"/>
      <c r="O6686" s="44"/>
      <c r="P6686" s="44"/>
      <c r="Q6686" s="44"/>
      <c r="R6686" s="44"/>
      <c r="S6686" s="44"/>
      <c r="T6686" s="44"/>
      <c r="U6686" s="44"/>
      <c r="V6686" s="44"/>
      <c r="W6686" s="44"/>
      <c r="X6686" s="44"/>
      <c r="Y6686" s="44"/>
    </row>
    <row r="6687" spans="14:25" ht="15" customHeight="1" x14ac:dyDescent="0.25">
      <c r="N6687" s="44"/>
      <c r="O6687" s="44"/>
      <c r="P6687" s="44"/>
      <c r="Q6687" s="44"/>
      <c r="R6687" s="44"/>
      <c r="S6687" s="44"/>
      <c r="T6687" s="44"/>
      <c r="U6687" s="44"/>
      <c r="V6687" s="44"/>
      <c r="W6687" s="44"/>
      <c r="X6687" s="44"/>
      <c r="Y6687" s="44"/>
    </row>
    <row r="6688" spans="14:25" ht="15" customHeight="1" x14ac:dyDescent="0.25">
      <c r="N6688" s="44"/>
      <c r="O6688" s="44"/>
      <c r="P6688" s="44"/>
      <c r="Q6688" s="44"/>
      <c r="R6688" s="44"/>
      <c r="S6688" s="44"/>
      <c r="T6688" s="44"/>
      <c r="U6688" s="44"/>
      <c r="V6688" s="44"/>
      <c r="W6688" s="44"/>
      <c r="X6688" s="44"/>
      <c r="Y6688" s="44"/>
    </row>
    <row r="6689" spans="14:25" ht="15" customHeight="1" x14ac:dyDescent="0.25">
      <c r="N6689" s="44"/>
      <c r="O6689" s="44"/>
      <c r="P6689" s="44"/>
      <c r="Q6689" s="44"/>
      <c r="R6689" s="44"/>
      <c r="S6689" s="44"/>
      <c r="T6689" s="44"/>
      <c r="U6689" s="44"/>
      <c r="V6689" s="44"/>
      <c r="W6689" s="44"/>
      <c r="X6689" s="44"/>
      <c r="Y6689" s="44"/>
    </row>
    <row r="6690" spans="14:25" ht="15" customHeight="1" x14ac:dyDescent="0.25">
      <c r="N6690" s="44"/>
      <c r="O6690" s="44"/>
      <c r="P6690" s="44"/>
      <c r="Q6690" s="44"/>
      <c r="R6690" s="44"/>
      <c r="S6690" s="44"/>
      <c r="T6690" s="44"/>
      <c r="U6690" s="44"/>
      <c r="V6690" s="44"/>
      <c r="W6690" s="44"/>
      <c r="X6690" s="44"/>
      <c r="Y6690" s="44"/>
    </row>
    <row r="6691" spans="14:25" ht="15" customHeight="1" x14ac:dyDescent="0.25">
      <c r="N6691" s="44"/>
      <c r="O6691" s="44"/>
      <c r="P6691" s="44"/>
      <c r="Q6691" s="44"/>
      <c r="R6691" s="44"/>
      <c r="S6691" s="44"/>
      <c r="T6691" s="44"/>
      <c r="U6691" s="44"/>
      <c r="V6691" s="44"/>
      <c r="W6691" s="44"/>
      <c r="X6691" s="44"/>
      <c r="Y6691" s="44"/>
    </row>
    <row r="6692" spans="14:25" ht="15" customHeight="1" x14ac:dyDescent="0.25">
      <c r="N6692" s="44"/>
      <c r="O6692" s="44"/>
      <c r="P6692" s="44"/>
      <c r="Q6692" s="44"/>
      <c r="R6692" s="44"/>
      <c r="S6692" s="44"/>
      <c r="T6692" s="44"/>
      <c r="U6692" s="44"/>
      <c r="V6692" s="44"/>
      <c r="W6692" s="44"/>
      <c r="X6692" s="44"/>
      <c r="Y6692" s="44"/>
    </row>
    <row r="6693" spans="14:25" ht="15" customHeight="1" x14ac:dyDescent="0.25">
      <c r="N6693" s="44"/>
      <c r="O6693" s="44"/>
      <c r="P6693" s="44"/>
      <c r="Q6693" s="44"/>
      <c r="R6693" s="44"/>
      <c r="S6693" s="44"/>
      <c r="T6693" s="44"/>
      <c r="U6693" s="44"/>
      <c r="V6693" s="44"/>
      <c r="W6693" s="44"/>
      <c r="X6693" s="44"/>
      <c r="Y6693" s="44"/>
    </row>
    <row r="6694" spans="14:25" ht="15" customHeight="1" x14ac:dyDescent="0.25">
      <c r="N6694" s="44"/>
      <c r="O6694" s="44"/>
      <c r="P6694" s="44"/>
      <c r="Q6694" s="44"/>
      <c r="R6694" s="44"/>
      <c r="S6694" s="44"/>
      <c r="T6694" s="44"/>
      <c r="U6694" s="44"/>
      <c r="V6694" s="44"/>
      <c r="W6694" s="44"/>
      <c r="X6694" s="44"/>
      <c r="Y6694" s="44"/>
    </row>
    <row r="6695" spans="14:25" ht="15" customHeight="1" x14ac:dyDescent="0.25">
      <c r="N6695" s="44"/>
      <c r="O6695" s="44"/>
      <c r="P6695" s="44"/>
      <c r="Q6695" s="44"/>
      <c r="R6695" s="44"/>
      <c r="S6695" s="44"/>
      <c r="T6695" s="44"/>
      <c r="U6695" s="44"/>
      <c r="V6695" s="44"/>
      <c r="W6695" s="44"/>
      <c r="X6695" s="44"/>
      <c r="Y6695" s="44"/>
    </row>
    <row r="6696" spans="14:25" ht="15" customHeight="1" x14ac:dyDescent="0.25">
      <c r="N6696" s="44"/>
      <c r="O6696" s="44"/>
      <c r="P6696" s="44"/>
      <c r="Q6696" s="44"/>
      <c r="R6696" s="44"/>
      <c r="S6696" s="44"/>
      <c r="T6696" s="44"/>
      <c r="U6696" s="44"/>
      <c r="V6696" s="44"/>
      <c r="W6696" s="44"/>
      <c r="X6696" s="44"/>
      <c r="Y6696" s="44"/>
    </row>
    <row r="6697" spans="14:25" ht="15" customHeight="1" x14ac:dyDescent="0.25">
      <c r="N6697" s="44"/>
      <c r="O6697" s="44"/>
      <c r="P6697" s="44"/>
      <c r="Q6697" s="44"/>
      <c r="R6697" s="44"/>
      <c r="S6697" s="44"/>
      <c r="T6697" s="44"/>
      <c r="U6697" s="44"/>
      <c r="V6697" s="44"/>
      <c r="W6697" s="44"/>
      <c r="X6697" s="44"/>
      <c r="Y6697" s="44"/>
    </row>
    <row r="6698" spans="14:25" ht="15" customHeight="1" x14ac:dyDescent="0.25">
      <c r="N6698" s="44"/>
      <c r="O6698" s="44"/>
      <c r="P6698" s="44"/>
      <c r="Q6698" s="44"/>
      <c r="R6698" s="44"/>
      <c r="S6698" s="44"/>
      <c r="T6698" s="44"/>
      <c r="U6698" s="44"/>
      <c r="V6698" s="44"/>
      <c r="W6698" s="44"/>
      <c r="X6698" s="44"/>
      <c r="Y6698" s="44"/>
    </row>
    <row r="6699" spans="14:25" ht="15" customHeight="1" x14ac:dyDescent="0.25">
      <c r="N6699" s="44"/>
      <c r="O6699" s="44"/>
      <c r="P6699" s="44"/>
      <c r="Q6699" s="44"/>
      <c r="R6699" s="44"/>
      <c r="S6699" s="44"/>
      <c r="T6699" s="44"/>
      <c r="U6699" s="44"/>
      <c r="V6699" s="44"/>
      <c r="W6699" s="44"/>
      <c r="X6699" s="44"/>
      <c r="Y6699" s="44"/>
    </row>
    <row r="6700" spans="14:25" ht="15" customHeight="1" x14ac:dyDescent="0.25">
      <c r="N6700" s="44"/>
      <c r="O6700" s="44"/>
      <c r="P6700" s="44"/>
      <c r="Q6700" s="44"/>
      <c r="R6700" s="44"/>
      <c r="S6700" s="44"/>
      <c r="T6700" s="44"/>
      <c r="U6700" s="44"/>
      <c r="V6700" s="44"/>
      <c r="W6700" s="44"/>
      <c r="X6700" s="44"/>
      <c r="Y6700" s="44"/>
    </row>
    <row r="6701" spans="14:25" ht="15" customHeight="1" x14ac:dyDescent="0.25">
      <c r="N6701" s="44"/>
      <c r="O6701" s="44"/>
      <c r="P6701" s="44"/>
      <c r="Q6701" s="44"/>
      <c r="R6701" s="44"/>
      <c r="S6701" s="44"/>
      <c r="T6701" s="44"/>
      <c r="U6701" s="44"/>
      <c r="V6701" s="44"/>
      <c r="W6701" s="44"/>
      <c r="X6701" s="44"/>
      <c r="Y6701" s="44"/>
    </row>
    <row r="6702" spans="14:25" ht="15" customHeight="1" x14ac:dyDescent="0.25">
      <c r="N6702" s="44"/>
      <c r="O6702" s="44"/>
      <c r="P6702" s="44"/>
      <c r="Q6702" s="44"/>
      <c r="R6702" s="44"/>
      <c r="S6702" s="44"/>
      <c r="T6702" s="44"/>
      <c r="U6702" s="44"/>
      <c r="V6702" s="44"/>
      <c r="W6702" s="44"/>
      <c r="X6702" s="44"/>
      <c r="Y6702" s="44"/>
    </row>
    <row r="6703" spans="14:25" ht="15" customHeight="1" x14ac:dyDescent="0.25">
      <c r="N6703" s="44"/>
      <c r="O6703" s="44"/>
      <c r="P6703" s="44"/>
      <c r="Q6703" s="44"/>
      <c r="R6703" s="44"/>
      <c r="S6703" s="44"/>
      <c r="T6703" s="44"/>
      <c r="U6703" s="44"/>
      <c r="V6703" s="44"/>
      <c r="W6703" s="44"/>
      <c r="X6703" s="44"/>
      <c r="Y6703" s="44"/>
    </row>
    <row r="6704" spans="14:25" ht="15" customHeight="1" x14ac:dyDescent="0.25">
      <c r="N6704" s="44"/>
      <c r="O6704" s="44"/>
      <c r="P6704" s="44"/>
      <c r="Q6704" s="44"/>
      <c r="R6704" s="44"/>
      <c r="S6704" s="44"/>
      <c r="T6704" s="44"/>
      <c r="U6704" s="44"/>
      <c r="V6704" s="44"/>
      <c r="W6704" s="44"/>
      <c r="X6704" s="44"/>
      <c r="Y6704" s="44"/>
    </row>
    <row r="6705" spans="14:25" ht="15" customHeight="1" x14ac:dyDescent="0.25">
      <c r="N6705" s="44"/>
      <c r="O6705" s="44"/>
      <c r="P6705" s="44"/>
      <c r="Q6705" s="44"/>
      <c r="R6705" s="44"/>
      <c r="S6705" s="44"/>
      <c r="T6705" s="44"/>
      <c r="U6705" s="44"/>
      <c r="V6705" s="44"/>
      <c r="W6705" s="44"/>
      <c r="X6705" s="44"/>
      <c r="Y6705" s="44"/>
    </row>
    <row r="6706" spans="14:25" ht="15" customHeight="1" x14ac:dyDescent="0.25">
      <c r="N6706" s="44"/>
      <c r="O6706" s="44"/>
      <c r="P6706" s="44"/>
      <c r="Q6706" s="44"/>
      <c r="R6706" s="44"/>
      <c r="S6706" s="44"/>
      <c r="T6706" s="44"/>
      <c r="U6706" s="44"/>
      <c r="V6706" s="44"/>
      <c r="W6706" s="44"/>
      <c r="X6706" s="44"/>
      <c r="Y6706" s="44"/>
    </row>
    <row r="6707" spans="14:25" ht="15" customHeight="1" x14ac:dyDescent="0.25">
      <c r="N6707" s="44"/>
      <c r="O6707" s="44"/>
      <c r="P6707" s="44"/>
      <c r="Q6707" s="44"/>
      <c r="R6707" s="44"/>
      <c r="S6707" s="44"/>
      <c r="T6707" s="44"/>
      <c r="U6707" s="44"/>
      <c r="V6707" s="44"/>
      <c r="W6707" s="44"/>
      <c r="X6707" s="44"/>
      <c r="Y6707" s="44"/>
    </row>
    <row r="6708" spans="14:25" ht="15" customHeight="1" x14ac:dyDescent="0.25">
      <c r="N6708" s="44"/>
      <c r="O6708" s="44"/>
      <c r="P6708" s="44"/>
      <c r="Q6708" s="44"/>
      <c r="R6708" s="44"/>
      <c r="S6708" s="44"/>
      <c r="T6708" s="44"/>
      <c r="U6708" s="44"/>
      <c r="V6708" s="44"/>
      <c r="W6708" s="44"/>
      <c r="X6708" s="44"/>
      <c r="Y6708" s="44"/>
    </row>
    <row r="6709" spans="14:25" ht="15" customHeight="1" x14ac:dyDescent="0.25">
      <c r="N6709" s="44"/>
      <c r="O6709" s="44"/>
      <c r="P6709" s="44"/>
      <c r="Q6709" s="44"/>
      <c r="R6709" s="44"/>
      <c r="S6709" s="44"/>
      <c r="T6709" s="44"/>
      <c r="U6709" s="44"/>
      <c r="V6709" s="44"/>
      <c r="W6709" s="44"/>
      <c r="X6709" s="44"/>
      <c r="Y6709" s="44"/>
    </row>
    <row r="6710" spans="14:25" ht="15" customHeight="1" x14ac:dyDescent="0.25">
      <c r="N6710" s="44"/>
      <c r="O6710" s="44"/>
      <c r="P6710" s="44"/>
      <c r="Q6710" s="44"/>
      <c r="R6710" s="44"/>
      <c r="S6710" s="44"/>
      <c r="T6710" s="44"/>
      <c r="U6710" s="44"/>
      <c r="V6710" s="44"/>
      <c r="W6710" s="44"/>
      <c r="X6710" s="44"/>
      <c r="Y6710" s="44"/>
    </row>
    <row r="6711" spans="14:25" ht="15" customHeight="1" x14ac:dyDescent="0.25">
      <c r="N6711" s="44"/>
      <c r="O6711" s="44"/>
      <c r="P6711" s="44"/>
      <c r="Q6711" s="44"/>
      <c r="R6711" s="44"/>
      <c r="S6711" s="44"/>
      <c r="T6711" s="44"/>
      <c r="U6711" s="44"/>
      <c r="V6711" s="44"/>
      <c r="W6711" s="44"/>
      <c r="X6711" s="44"/>
      <c r="Y6711" s="44"/>
    </row>
    <row r="6712" spans="14:25" ht="15" customHeight="1" x14ac:dyDescent="0.25">
      <c r="N6712" s="44"/>
      <c r="O6712" s="44"/>
      <c r="P6712" s="44"/>
      <c r="Q6712" s="44"/>
      <c r="R6712" s="44"/>
      <c r="S6712" s="44"/>
      <c r="T6712" s="44"/>
      <c r="U6712" s="44"/>
      <c r="V6712" s="44"/>
      <c r="W6712" s="44"/>
      <c r="X6712" s="44"/>
      <c r="Y6712" s="44"/>
    </row>
    <row r="6713" spans="14:25" ht="15" customHeight="1" x14ac:dyDescent="0.25">
      <c r="N6713" s="44"/>
      <c r="O6713" s="44"/>
      <c r="P6713" s="44"/>
      <c r="Q6713" s="44"/>
      <c r="R6713" s="44"/>
      <c r="S6713" s="44"/>
      <c r="T6713" s="44"/>
      <c r="U6713" s="44"/>
      <c r="V6713" s="44"/>
      <c r="W6713" s="44"/>
      <c r="X6713" s="44"/>
      <c r="Y6713" s="44"/>
    </row>
    <row r="6714" spans="14:25" ht="15" customHeight="1" x14ac:dyDescent="0.25">
      <c r="N6714" s="44"/>
      <c r="O6714" s="44"/>
      <c r="P6714" s="44"/>
      <c r="Q6714" s="44"/>
      <c r="R6714" s="44"/>
      <c r="S6714" s="44"/>
      <c r="T6714" s="44"/>
      <c r="U6714" s="44"/>
      <c r="V6714" s="44"/>
      <c r="W6714" s="44"/>
      <c r="X6714" s="44"/>
      <c r="Y6714" s="44"/>
    </row>
    <row r="6715" spans="14:25" ht="15" customHeight="1" x14ac:dyDescent="0.25">
      <c r="N6715" s="44"/>
      <c r="O6715" s="44"/>
      <c r="P6715" s="44"/>
      <c r="Q6715" s="44"/>
      <c r="R6715" s="44"/>
      <c r="S6715" s="44"/>
      <c r="T6715" s="44"/>
      <c r="U6715" s="44"/>
      <c r="V6715" s="44"/>
      <c r="W6715" s="44"/>
      <c r="X6715" s="44"/>
      <c r="Y6715" s="44"/>
    </row>
    <row r="6716" spans="14:25" ht="15" customHeight="1" x14ac:dyDescent="0.25">
      <c r="N6716" s="44"/>
      <c r="O6716" s="44"/>
      <c r="P6716" s="44"/>
      <c r="Q6716" s="44"/>
      <c r="R6716" s="44"/>
      <c r="S6716" s="44"/>
      <c r="T6716" s="44"/>
      <c r="U6716" s="44"/>
      <c r="V6716" s="44"/>
      <c r="W6716" s="44"/>
      <c r="X6716" s="44"/>
      <c r="Y6716" s="44"/>
    </row>
    <row r="6717" spans="14:25" ht="15" customHeight="1" x14ac:dyDescent="0.25">
      <c r="N6717" s="44"/>
      <c r="O6717" s="44"/>
      <c r="P6717" s="44"/>
      <c r="Q6717" s="44"/>
      <c r="R6717" s="44"/>
      <c r="S6717" s="44"/>
      <c r="T6717" s="44"/>
      <c r="U6717" s="44"/>
      <c r="V6717" s="44"/>
      <c r="W6717" s="44"/>
      <c r="X6717" s="44"/>
      <c r="Y6717" s="44"/>
    </row>
    <row r="6718" spans="14:25" ht="15" customHeight="1" x14ac:dyDescent="0.25">
      <c r="N6718" s="44"/>
      <c r="O6718" s="44"/>
      <c r="P6718" s="44"/>
      <c r="Q6718" s="44"/>
      <c r="R6718" s="44"/>
      <c r="S6718" s="44"/>
      <c r="T6718" s="44"/>
      <c r="U6718" s="44"/>
      <c r="V6718" s="44"/>
      <c r="W6718" s="44"/>
      <c r="X6718" s="44"/>
      <c r="Y6718" s="44"/>
    </row>
    <row r="6719" spans="14:25" ht="15" customHeight="1" x14ac:dyDescent="0.25">
      <c r="N6719" s="44"/>
      <c r="O6719" s="44"/>
      <c r="P6719" s="44"/>
      <c r="Q6719" s="44"/>
      <c r="R6719" s="44"/>
      <c r="S6719" s="44"/>
      <c r="T6719" s="44"/>
      <c r="U6719" s="44"/>
      <c r="V6719" s="44"/>
      <c r="W6719" s="44"/>
      <c r="X6719" s="44"/>
      <c r="Y6719" s="44"/>
    </row>
    <row r="6720" spans="14:25" ht="15" customHeight="1" x14ac:dyDescent="0.25">
      <c r="N6720" s="44"/>
      <c r="O6720" s="44"/>
      <c r="P6720" s="44"/>
      <c r="Q6720" s="44"/>
      <c r="R6720" s="44"/>
      <c r="S6720" s="44"/>
      <c r="T6720" s="44"/>
      <c r="U6720" s="44"/>
      <c r="V6720" s="44"/>
      <c r="W6720" s="44"/>
      <c r="X6720" s="44"/>
      <c r="Y6720" s="44"/>
    </row>
    <row r="6721" spans="14:25" ht="15" customHeight="1" x14ac:dyDescent="0.25">
      <c r="N6721" s="44"/>
      <c r="O6721" s="44"/>
      <c r="P6721" s="44"/>
      <c r="Q6721" s="44"/>
      <c r="R6721" s="44"/>
      <c r="S6721" s="44"/>
      <c r="T6721" s="44"/>
      <c r="U6721" s="44"/>
      <c r="V6721" s="44"/>
      <c r="W6721" s="44"/>
      <c r="X6721" s="44"/>
      <c r="Y6721" s="44"/>
    </row>
    <row r="6722" spans="14:25" ht="15" customHeight="1" x14ac:dyDescent="0.25">
      <c r="N6722" s="44"/>
      <c r="O6722" s="44"/>
      <c r="P6722" s="44"/>
      <c r="Q6722" s="44"/>
      <c r="R6722" s="44"/>
      <c r="S6722" s="44"/>
      <c r="T6722" s="44"/>
      <c r="U6722" s="44"/>
      <c r="V6722" s="44"/>
      <c r="W6722" s="44"/>
      <c r="X6722" s="44"/>
      <c r="Y6722" s="44"/>
    </row>
    <row r="6723" spans="14:25" ht="15" customHeight="1" x14ac:dyDescent="0.25">
      <c r="N6723" s="44"/>
      <c r="O6723" s="44"/>
      <c r="P6723" s="44"/>
      <c r="Q6723" s="44"/>
      <c r="R6723" s="44"/>
      <c r="S6723" s="44"/>
      <c r="T6723" s="44"/>
      <c r="U6723" s="44"/>
      <c r="V6723" s="44"/>
      <c r="W6723" s="44"/>
      <c r="X6723" s="44"/>
      <c r="Y6723" s="44"/>
    </row>
    <row r="6724" spans="14:25" ht="15" customHeight="1" x14ac:dyDescent="0.25">
      <c r="N6724" s="44"/>
      <c r="O6724" s="44"/>
      <c r="P6724" s="44"/>
      <c r="Q6724" s="44"/>
      <c r="R6724" s="44"/>
      <c r="S6724" s="44"/>
      <c r="T6724" s="44"/>
      <c r="U6724" s="44"/>
      <c r="V6724" s="44"/>
      <c r="W6724" s="44"/>
      <c r="X6724" s="44"/>
      <c r="Y6724" s="44"/>
    </row>
    <row r="6725" spans="14:25" ht="15" customHeight="1" x14ac:dyDescent="0.25">
      <c r="N6725" s="44"/>
      <c r="O6725" s="44"/>
      <c r="P6725" s="44"/>
      <c r="Q6725" s="44"/>
      <c r="R6725" s="44"/>
      <c r="S6725" s="44"/>
      <c r="T6725" s="44"/>
      <c r="U6725" s="44"/>
      <c r="V6725" s="44"/>
      <c r="W6725" s="44"/>
      <c r="X6725" s="44"/>
      <c r="Y6725" s="44"/>
    </row>
    <row r="6726" spans="14:25" ht="15" customHeight="1" x14ac:dyDescent="0.25">
      <c r="N6726" s="44"/>
      <c r="O6726" s="44"/>
      <c r="P6726" s="44"/>
      <c r="Q6726" s="44"/>
      <c r="R6726" s="44"/>
      <c r="S6726" s="44"/>
      <c r="T6726" s="44"/>
      <c r="U6726" s="44"/>
      <c r="V6726" s="44"/>
      <c r="W6726" s="44"/>
      <c r="X6726" s="44"/>
      <c r="Y6726" s="44"/>
    </row>
    <row r="6727" spans="14:25" ht="15" customHeight="1" x14ac:dyDescent="0.25">
      <c r="N6727" s="44"/>
      <c r="O6727" s="44"/>
      <c r="P6727" s="44"/>
      <c r="Q6727" s="44"/>
      <c r="R6727" s="44"/>
      <c r="S6727" s="44"/>
      <c r="T6727" s="44"/>
      <c r="U6727" s="44"/>
      <c r="V6727" s="44"/>
      <c r="W6727" s="44"/>
      <c r="X6727" s="44"/>
      <c r="Y6727" s="44"/>
    </row>
    <row r="6728" spans="14:25" ht="15" customHeight="1" x14ac:dyDescent="0.25">
      <c r="N6728" s="44"/>
      <c r="O6728" s="44"/>
      <c r="P6728" s="44"/>
      <c r="Q6728" s="44"/>
      <c r="R6728" s="44"/>
      <c r="S6728" s="44"/>
      <c r="T6728" s="44"/>
      <c r="U6728" s="44"/>
      <c r="V6728" s="44"/>
      <c r="W6728" s="44"/>
      <c r="X6728" s="44"/>
      <c r="Y6728" s="44"/>
    </row>
    <row r="6729" spans="14:25" ht="15" customHeight="1" x14ac:dyDescent="0.25">
      <c r="N6729" s="44"/>
      <c r="O6729" s="44"/>
      <c r="P6729" s="44"/>
      <c r="Q6729" s="44"/>
      <c r="R6729" s="44"/>
      <c r="S6729" s="44"/>
      <c r="T6729" s="44"/>
      <c r="U6729" s="44"/>
      <c r="V6729" s="44"/>
      <c r="W6729" s="44"/>
      <c r="X6729" s="44"/>
      <c r="Y6729" s="44"/>
    </row>
    <row r="6730" spans="14:25" ht="15" customHeight="1" x14ac:dyDescent="0.25">
      <c r="N6730" s="44"/>
      <c r="O6730" s="44"/>
      <c r="P6730" s="44"/>
      <c r="Q6730" s="44"/>
      <c r="R6730" s="44"/>
      <c r="S6730" s="44"/>
      <c r="T6730" s="44"/>
      <c r="U6730" s="44"/>
      <c r="V6730" s="44"/>
      <c r="W6730" s="44"/>
      <c r="X6730" s="44"/>
      <c r="Y6730" s="44"/>
    </row>
    <row r="6731" spans="14:25" ht="15" customHeight="1" x14ac:dyDescent="0.25">
      <c r="N6731" s="44"/>
      <c r="O6731" s="44"/>
      <c r="P6731" s="44"/>
      <c r="Q6731" s="44"/>
      <c r="R6731" s="44"/>
      <c r="S6731" s="44"/>
      <c r="T6731" s="44"/>
      <c r="U6731" s="44"/>
      <c r="V6731" s="44"/>
      <c r="W6731" s="44"/>
      <c r="X6731" s="44"/>
      <c r="Y6731" s="44"/>
    </row>
    <row r="6732" spans="14:25" ht="15" customHeight="1" x14ac:dyDescent="0.25">
      <c r="N6732" s="44"/>
      <c r="O6732" s="44"/>
      <c r="P6732" s="44"/>
      <c r="Q6732" s="44"/>
      <c r="R6732" s="44"/>
      <c r="S6732" s="44"/>
      <c r="T6732" s="44"/>
      <c r="U6732" s="44"/>
      <c r="V6732" s="44"/>
      <c r="W6732" s="44"/>
      <c r="X6732" s="44"/>
      <c r="Y6732" s="44"/>
    </row>
    <row r="6733" spans="14:25" ht="15" customHeight="1" x14ac:dyDescent="0.25">
      <c r="N6733" s="44"/>
      <c r="O6733" s="44"/>
      <c r="P6733" s="44"/>
      <c r="Q6733" s="44"/>
      <c r="R6733" s="44"/>
      <c r="S6733" s="44"/>
      <c r="T6733" s="44"/>
      <c r="U6733" s="44"/>
      <c r="V6733" s="44"/>
      <c r="W6733" s="44"/>
      <c r="X6733" s="44"/>
      <c r="Y6733" s="44"/>
    </row>
    <row r="6734" spans="14:25" ht="15" customHeight="1" x14ac:dyDescent="0.25">
      <c r="N6734" s="44"/>
      <c r="O6734" s="44"/>
      <c r="P6734" s="44"/>
      <c r="Q6734" s="44"/>
      <c r="R6734" s="44"/>
      <c r="S6734" s="44"/>
      <c r="T6734" s="44"/>
      <c r="U6734" s="44"/>
      <c r="V6734" s="44"/>
      <c r="W6734" s="44"/>
      <c r="X6734" s="44"/>
      <c r="Y6734" s="44"/>
    </row>
    <row r="6735" spans="14:25" ht="15" customHeight="1" x14ac:dyDescent="0.25">
      <c r="N6735" s="44"/>
      <c r="O6735" s="44"/>
      <c r="P6735" s="44"/>
      <c r="Q6735" s="44"/>
      <c r="R6735" s="44"/>
      <c r="S6735" s="44"/>
      <c r="T6735" s="44"/>
      <c r="U6735" s="44"/>
      <c r="V6735" s="44"/>
      <c r="W6735" s="44"/>
      <c r="X6735" s="44"/>
      <c r="Y6735" s="44"/>
    </row>
    <row r="6736" spans="14:25" ht="15" customHeight="1" x14ac:dyDescent="0.25">
      <c r="N6736" s="44"/>
      <c r="O6736" s="44"/>
      <c r="P6736" s="44"/>
      <c r="Q6736" s="44"/>
      <c r="R6736" s="44"/>
      <c r="S6736" s="44"/>
      <c r="T6736" s="44"/>
      <c r="U6736" s="44"/>
      <c r="V6736" s="44"/>
      <c r="W6736" s="44"/>
      <c r="X6736" s="44"/>
      <c r="Y6736" s="44"/>
    </row>
    <row r="6737" spans="14:25" ht="15" customHeight="1" x14ac:dyDescent="0.25">
      <c r="N6737" s="44"/>
      <c r="O6737" s="44"/>
      <c r="P6737" s="44"/>
      <c r="Q6737" s="44"/>
      <c r="R6737" s="44"/>
      <c r="S6737" s="44"/>
      <c r="T6737" s="44"/>
      <c r="U6737" s="44"/>
      <c r="V6737" s="44"/>
      <c r="W6737" s="44"/>
      <c r="X6737" s="44"/>
      <c r="Y6737" s="44"/>
    </row>
    <row r="6738" spans="14:25" ht="15" customHeight="1" x14ac:dyDescent="0.25">
      <c r="N6738" s="44"/>
      <c r="O6738" s="44"/>
      <c r="P6738" s="44"/>
      <c r="Q6738" s="44"/>
      <c r="R6738" s="44"/>
      <c r="S6738" s="44"/>
      <c r="T6738" s="44"/>
      <c r="U6738" s="44"/>
      <c r="V6738" s="44"/>
      <c r="W6738" s="44"/>
      <c r="X6738" s="44"/>
      <c r="Y6738" s="44"/>
    </row>
    <row r="6739" spans="14:25" ht="15" customHeight="1" x14ac:dyDescent="0.25">
      <c r="N6739" s="44"/>
      <c r="O6739" s="44"/>
      <c r="P6739" s="44"/>
      <c r="Q6739" s="44"/>
      <c r="R6739" s="44"/>
      <c r="S6739" s="44"/>
      <c r="T6739" s="44"/>
      <c r="U6739" s="44"/>
      <c r="V6739" s="44"/>
      <c r="W6739" s="44"/>
      <c r="X6739" s="44"/>
      <c r="Y6739" s="44"/>
    </row>
    <row r="6740" spans="14:25" ht="15" customHeight="1" x14ac:dyDescent="0.25">
      <c r="N6740" s="44"/>
      <c r="O6740" s="44"/>
      <c r="P6740" s="44"/>
      <c r="Q6740" s="44"/>
      <c r="R6740" s="44"/>
      <c r="S6740" s="44"/>
      <c r="T6740" s="44"/>
      <c r="U6740" s="44"/>
      <c r="V6740" s="44"/>
      <c r="W6740" s="44"/>
      <c r="X6740" s="44"/>
      <c r="Y6740" s="44"/>
    </row>
    <row r="6741" spans="14:25" ht="15" customHeight="1" x14ac:dyDescent="0.25">
      <c r="N6741" s="44"/>
      <c r="O6741" s="44"/>
      <c r="P6741" s="44"/>
      <c r="Q6741" s="44"/>
      <c r="R6741" s="44"/>
      <c r="S6741" s="44"/>
      <c r="T6741" s="44"/>
      <c r="U6741" s="44"/>
      <c r="V6741" s="44"/>
      <c r="W6741" s="44"/>
      <c r="X6741" s="44"/>
      <c r="Y6741" s="44"/>
    </row>
    <row r="6742" spans="14:25" ht="15" customHeight="1" x14ac:dyDescent="0.25">
      <c r="N6742" s="44"/>
      <c r="O6742" s="44"/>
      <c r="P6742" s="44"/>
      <c r="Q6742" s="44"/>
      <c r="R6742" s="44"/>
      <c r="S6742" s="44"/>
      <c r="T6742" s="44"/>
      <c r="U6742" s="44"/>
      <c r="V6742" s="44"/>
      <c r="W6742" s="44"/>
      <c r="X6742" s="44"/>
      <c r="Y6742" s="44"/>
    </row>
    <row r="6743" spans="14:25" ht="15" customHeight="1" x14ac:dyDescent="0.25">
      <c r="N6743" s="44"/>
      <c r="O6743" s="44"/>
      <c r="P6743" s="44"/>
      <c r="Q6743" s="44"/>
      <c r="R6743" s="44"/>
      <c r="S6743" s="44"/>
      <c r="T6743" s="44"/>
      <c r="U6743" s="44"/>
      <c r="V6743" s="44"/>
      <c r="W6743" s="44"/>
      <c r="X6743" s="44"/>
      <c r="Y6743" s="44"/>
    </row>
    <row r="6744" spans="14:25" ht="15" customHeight="1" x14ac:dyDescent="0.25">
      <c r="N6744" s="44"/>
      <c r="O6744" s="44"/>
      <c r="P6744" s="44"/>
      <c r="Q6744" s="44"/>
      <c r="R6744" s="44"/>
      <c r="S6744" s="44"/>
      <c r="T6744" s="44"/>
      <c r="U6744" s="44"/>
      <c r="V6744" s="44"/>
      <c r="W6744" s="44"/>
      <c r="X6744" s="44"/>
      <c r="Y6744" s="44"/>
    </row>
    <row r="6745" spans="14:25" ht="15" customHeight="1" x14ac:dyDescent="0.25">
      <c r="N6745" s="44"/>
      <c r="O6745" s="44"/>
      <c r="P6745" s="44"/>
      <c r="Q6745" s="44"/>
      <c r="R6745" s="44"/>
      <c r="S6745" s="44"/>
      <c r="T6745" s="44"/>
      <c r="U6745" s="44"/>
      <c r="V6745" s="44"/>
      <c r="W6745" s="44"/>
      <c r="X6745" s="44"/>
      <c r="Y6745" s="44"/>
    </row>
    <row r="6746" spans="14:25" ht="15" customHeight="1" x14ac:dyDescent="0.25">
      <c r="N6746" s="44"/>
      <c r="O6746" s="44"/>
      <c r="P6746" s="44"/>
      <c r="Q6746" s="44"/>
      <c r="R6746" s="44"/>
      <c r="S6746" s="44"/>
      <c r="T6746" s="44"/>
      <c r="U6746" s="44"/>
      <c r="V6746" s="44"/>
      <c r="W6746" s="44"/>
      <c r="X6746" s="44"/>
      <c r="Y6746" s="44"/>
    </row>
    <row r="6747" spans="14:25" ht="15" customHeight="1" x14ac:dyDescent="0.25">
      <c r="N6747" s="44"/>
      <c r="O6747" s="44"/>
      <c r="P6747" s="44"/>
      <c r="Q6747" s="44"/>
      <c r="R6747" s="44"/>
      <c r="S6747" s="44"/>
      <c r="T6747" s="44"/>
      <c r="U6747" s="44"/>
      <c r="V6747" s="44"/>
      <c r="W6747" s="44"/>
      <c r="X6747" s="44"/>
      <c r="Y6747" s="44"/>
    </row>
    <row r="6748" spans="14:25" ht="15" customHeight="1" x14ac:dyDescent="0.25">
      <c r="N6748" s="44"/>
      <c r="O6748" s="44"/>
      <c r="P6748" s="44"/>
      <c r="Q6748" s="44"/>
      <c r="R6748" s="44"/>
      <c r="S6748" s="44"/>
      <c r="T6748" s="44"/>
      <c r="U6748" s="44"/>
      <c r="V6748" s="44"/>
      <c r="W6748" s="44"/>
      <c r="X6748" s="44"/>
      <c r="Y6748" s="44"/>
    </row>
    <row r="6749" spans="14:25" ht="15" customHeight="1" x14ac:dyDescent="0.25">
      <c r="N6749" s="44"/>
      <c r="O6749" s="44"/>
      <c r="P6749" s="44"/>
      <c r="Q6749" s="44"/>
      <c r="R6749" s="44"/>
      <c r="S6749" s="44"/>
      <c r="T6749" s="44"/>
      <c r="U6749" s="44"/>
      <c r="V6749" s="44"/>
      <c r="W6749" s="44"/>
      <c r="X6749" s="44"/>
      <c r="Y6749" s="44"/>
    </row>
    <row r="6750" spans="14:25" ht="15" customHeight="1" x14ac:dyDescent="0.25">
      <c r="N6750" s="44"/>
      <c r="O6750" s="44"/>
      <c r="P6750" s="44"/>
      <c r="Q6750" s="44"/>
      <c r="R6750" s="44"/>
      <c r="S6750" s="44"/>
      <c r="T6750" s="44"/>
      <c r="U6750" s="44"/>
      <c r="V6750" s="44"/>
      <c r="W6750" s="44"/>
      <c r="X6750" s="44"/>
      <c r="Y6750" s="44"/>
    </row>
    <row r="6751" spans="14:25" ht="15" customHeight="1" x14ac:dyDescent="0.25">
      <c r="N6751" s="44"/>
      <c r="O6751" s="44"/>
      <c r="P6751" s="44"/>
      <c r="Q6751" s="44"/>
      <c r="R6751" s="44"/>
      <c r="S6751" s="44"/>
      <c r="T6751" s="44"/>
      <c r="U6751" s="44"/>
      <c r="V6751" s="44"/>
      <c r="W6751" s="44"/>
      <c r="X6751" s="44"/>
      <c r="Y6751" s="44"/>
    </row>
    <row r="6752" spans="14:25" ht="15" customHeight="1" x14ac:dyDescent="0.25">
      <c r="N6752" s="44"/>
      <c r="O6752" s="44"/>
      <c r="P6752" s="44"/>
      <c r="Q6752" s="44"/>
      <c r="R6752" s="44"/>
      <c r="S6752" s="44"/>
      <c r="T6752" s="44"/>
      <c r="U6752" s="44"/>
      <c r="V6752" s="44"/>
      <c r="W6752" s="44"/>
      <c r="X6752" s="44"/>
      <c r="Y6752" s="44"/>
    </row>
    <row r="6753" spans="14:25" ht="15" customHeight="1" x14ac:dyDescent="0.25">
      <c r="N6753" s="44"/>
      <c r="O6753" s="44"/>
      <c r="P6753" s="44"/>
      <c r="Q6753" s="44"/>
      <c r="R6753" s="44"/>
      <c r="S6753" s="44"/>
      <c r="T6753" s="44"/>
      <c r="U6753" s="44"/>
      <c r="V6753" s="44"/>
      <c r="W6753" s="44"/>
      <c r="X6753" s="44"/>
      <c r="Y6753" s="44"/>
    </row>
    <row r="6754" spans="14:25" ht="15" customHeight="1" x14ac:dyDescent="0.25">
      <c r="N6754" s="44"/>
      <c r="O6754" s="44"/>
      <c r="P6754" s="44"/>
      <c r="Q6754" s="44"/>
      <c r="R6754" s="44"/>
      <c r="S6754" s="44"/>
      <c r="T6754" s="44"/>
      <c r="U6754" s="44"/>
      <c r="V6754" s="44"/>
      <c r="W6754" s="44"/>
      <c r="X6754" s="44"/>
      <c r="Y6754" s="44"/>
    </row>
    <row r="6755" spans="14:25" ht="15" customHeight="1" x14ac:dyDescent="0.25">
      <c r="N6755" s="44"/>
      <c r="O6755" s="44"/>
      <c r="P6755" s="44"/>
      <c r="Q6755" s="44"/>
      <c r="R6755" s="44"/>
      <c r="S6755" s="44"/>
      <c r="T6755" s="44"/>
      <c r="U6755" s="44"/>
      <c r="V6755" s="44"/>
      <c r="W6755" s="44"/>
      <c r="X6755" s="44"/>
      <c r="Y6755" s="44"/>
    </row>
    <row r="6756" spans="14:25" ht="15" customHeight="1" x14ac:dyDescent="0.25">
      <c r="N6756" s="44"/>
      <c r="O6756" s="44"/>
      <c r="P6756" s="44"/>
      <c r="Q6756" s="44"/>
      <c r="R6756" s="44"/>
      <c r="S6756" s="44"/>
      <c r="T6756" s="44"/>
      <c r="U6756" s="44"/>
      <c r="V6756" s="44"/>
      <c r="W6756" s="44"/>
      <c r="X6756" s="44"/>
      <c r="Y6756" s="44"/>
    </row>
    <row r="6757" spans="14:25" ht="15" customHeight="1" x14ac:dyDescent="0.25">
      <c r="N6757" s="44"/>
      <c r="O6757" s="44"/>
      <c r="P6757" s="44"/>
      <c r="Q6757" s="44"/>
      <c r="R6757" s="44"/>
      <c r="S6757" s="44"/>
      <c r="T6757" s="44"/>
      <c r="U6757" s="44"/>
      <c r="V6757" s="44"/>
      <c r="W6757" s="44"/>
      <c r="X6757" s="44"/>
      <c r="Y6757" s="44"/>
    </row>
    <row r="6758" spans="14:25" ht="15" customHeight="1" x14ac:dyDescent="0.25">
      <c r="N6758" s="44"/>
      <c r="O6758" s="44"/>
      <c r="P6758" s="44"/>
      <c r="Q6758" s="44"/>
      <c r="R6758" s="44"/>
      <c r="S6758" s="44"/>
      <c r="T6758" s="44"/>
      <c r="U6758" s="44"/>
      <c r="V6758" s="44"/>
      <c r="W6758" s="44"/>
      <c r="X6758" s="44"/>
      <c r="Y6758" s="44"/>
    </row>
    <row r="6759" spans="14:25" ht="15" customHeight="1" x14ac:dyDescent="0.25">
      <c r="N6759" s="44"/>
      <c r="O6759" s="44"/>
      <c r="P6759" s="44"/>
      <c r="Q6759" s="44"/>
      <c r="R6759" s="44"/>
      <c r="S6759" s="44"/>
      <c r="T6759" s="44"/>
      <c r="U6759" s="44"/>
      <c r="V6759" s="44"/>
      <c r="W6759" s="44"/>
      <c r="X6759" s="44"/>
      <c r="Y6759" s="44"/>
    </row>
    <row r="6760" spans="14:25" ht="15" customHeight="1" x14ac:dyDescent="0.25">
      <c r="N6760" s="44"/>
      <c r="O6760" s="44"/>
      <c r="P6760" s="44"/>
      <c r="Q6760" s="44"/>
      <c r="R6760" s="44"/>
      <c r="S6760" s="44"/>
      <c r="T6760" s="44"/>
      <c r="U6760" s="44"/>
      <c r="V6760" s="44"/>
      <c r="W6760" s="44"/>
      <c r="X6760" s="44"/>
      <c r="Y6760" s="44"/>
    </row>
    <row r="6761" spans="14:25" ht="15" customHeight="1" x14ac:dyDescent="0.25">
      <c r="N6761" s="44"/>
      <c r="O6761" s="44"/>
      <c r="P6761" s="44"/>
      <c r="Q6761" s="44"/>
      <c r="R6761" s="44"/>
      <c r="S6761" s="44"/>
      <c r="T6761" s="44"/>
      <c r="U6761" s="44"/>
      <c r="V6761" s="44"/>
      <c r="W6761" s="44"/>
      <c r="X6761" s="44"/>
      <c r="Y6761" s="44"/>
    </row>
    <row r="6762" spans="14:25" ht="15" customHeight="1" x14ac:dyDescent="0.25">
      <c r="N6762" s="44"/>
      <c r="O6762" s="44"/>
      <c r="P6762" s="44"/>
      <c r="Q6762" s="44"/>
      <c r="R6762" s="44"/>
      <c r="S6762" s="44"/>
      <c r="T6762" s="44"/>
      <c r="U6762" s="44"/>
      <c r="V6762" s="44"/>
      <c r="W6762" s="44"/>
      <c r="X6762" s="44"/>
      <c r="Y6762" s="44"/>
    </row>
    <row r="6763" spans="14:25" ht="15" customHeight="1" x14ac:dyDescent="0.25">
      <c r="N6763" s="44"/>
      <c r="O6763" s="44"/>
      <c r="P6763" s="44"/>
      <c r="Q6763" s="44"/>
      <c r="R6763" s="44"/>
      <c r="S6763" s="44"/>
      <c r="T6763" s="44"/>
      <c r="U6763" s="44"/>
      <c r="V6763" s="44"/>
      <c r="W6763" s="44"/>
      <c r="X6763" s="44"/>
      <c r="Y6763" s="44"/>
    </row>
    <row r="6764" spans="14:25" ht="15" customHeight="1" x14ac:dyDescent="0.25">
      <c r="N6764" s="44"/>
      <c r="O6764" s="44"/>
      <c r="P6764" s="44"/>
      <c r="Q6764" s="44"/>
      <c r="R6764" s="44"/>
      <c r="S6764" s="44"/>
      <c r="T6764" s="44"/>
      <c r="U6764" s="44"/>
      <c r="V6764" s="44"/>
      <c r="W6764" s="44"/>
      <c r="X6764" s="44"/>
      <c r="Y6764" s="44"/>
    </row>
    <row r="6765" spans="14:25" ht="15" customHeight="1" x14ac:dyDescent="0.25">
      <c r="N6765" s="44"/>
      <c r="O6765" s="44"/>
      <c r="P6765" s="44"/>
      <c r="Q6765" s="44"/>
      <c r="R6765" s="44"/>
      <c r="S6765" s="44"/>
      <c r="T6765" s="44"/>
      <c r="U6765" s="44"/>
      <c r="V6765" s="44"/>
      <c r="W6765" s="44"/>
      <c r="X6765" s="44"/>
      <c r="Y6765" s="44"/>
    </row>
    <row r="6766" spans="14:25" ht="15" customHeight="1" x14ac:dyDescent="0.25">
      <c r="N6766" s="44"/>
      <c r="O6766" s="44"/>
      <c r="P6766" s="44"/>
      <c r="Q6766" s="44"/>
      <c r="R6766" s="44"/>
      <c r="S6766" s="44"/>
      <c r="T6766" s="44"/>
      <c r="U6766" s="44"/>
      <c r="V6766" s="44"/>
      <c r="W6766" s="44"/>
      <c r="X6766" s="44"/>
      <c r="Y6766" s="44"/>
    </row>
    <row r="6767" spans="14:25" ht="15" customHeight="1" x14ac:dyDescent="0.25">
      <c r="N6767" s="44"/>
      <c r="O6767" s="44"/>
      <c r="P6767" s="44"/>
      <c r="Q6767" s="44"/>
      <c r="R6767" s="44"/>
      <c r="S6767" s="44"/>
      <c r="T6767" s="44"/>
      <c r="U6767" s="44"/>
      <c r="V6767" s="44"/>
      <c r="W6767" s="44"/>
      <c r="X6767" s="44"/>
      <c r="Y6767" s="44"/>
    </row>
    <row r="6768" spans="14:25" ht="15" customHeight="1" x14ac:dyDescent="0.25">
      <c r="N6768" s="44"/>
      <c r="O6768" s="44"/>
      <c r="P6768" s="44"/>
      <c r="Q6768" s="44"/>
      <c r="R6768" s="44"/>
      <c r="S6768" s="44"/>
      <c r="T6768" s="44"/>
      <c r="U6768" s="44"/>
      <c r="V6768" s="44"/>
      <c r="W6768" s="44"/>
      <c r="X6768" s="44"/>
      <c r="Y6768" s="44"/>
    </row>
    <row r="6769" spans="14:25" ht="15" customHeight="1" x14ac:dyDescent="0.25">
      <c r="N6769" s="44"/>
      <c r="O6769" s="44"/>
      <c r="P6769" s="44"/>
      <c r="Q6769" s="44"/>
      <c r="R6769" s="44"/>
      <c r="S6769" s="44"/>
      <c r="T6769" s="44"/>
      <c r="U6769" s="44"/>
      <c r="V6769" s="44"/>
      <c r="W6769" s="44"/>
      <c r="X6769" s="44"/>
      <c r="Y6769" s="44"/>
    </row>
    <row r="6770" spans="14:25" ht="15" customHeight="1" x14ac:dyDescent="0.25">
      <c r="N6770" s="44"/>
      <c r="O6770" s="44"/>
      <c r="P6770" s="44"/>
      <c r="Q6770" s="44"/>
      <c r="R6770" s="44"/>
      <c r="S6770" s="44"/>
      <c r="T6770" s="44"/>
      <c r="U6770" s="44"/>
      <c r="V6770" s="44"/>
      <c r="W6770" s="44"/>
      <c r="X6770" s="44"/>
      <c r="Y6770" s="44"/>
    </row>
    <row r="6771" spans="14:25" ht="15" customHeight="1" x14ac:dyDescent="0.25">
      <c r="N6771" s="44"/>
      <c r="O6771" s="44"/>
      <c r="P6771" s="44"/>
      <c r="Q6771" s="44"/>
      <c r="R6771" s="44"/>
      <c r="S6771" s="44"/>
      <c r="T6771" s="44"/>
      <c r="U6771" s="44"/>
      <c r="V6771" s="44"/>
      <c r="W6771" s="44"/>
      <c r="X6771" s="44"/>
      <c r="Y6771" s="44"/>
    </row>
    <row r="6772" spans="14:25" ht="15" customHeight="1" x14ac:dyDescent="0.25">
      <c r="N6772" s="44"/>
      <c r="O6772" s="44"/>
      <c r="P6772" s="44"/>
      <c r="Q6772" s="44"/>
      <c r="R6772" s="44"/>
      <c r="S6772" s="44"/>
      <c r="T6772" s="44"/>
      <c r="U6772" s="44"/>
      <c r="V6772" s="44"/>
      <c r="W6772" s="44"/>
      <c r="X6772" s="44"/>
      <c r="Y6772" s="44"/>
    </row>
    <row r="6773" spans="14:25" ht="15" customHeight="1" x14ac:dyDescent="0.25">
      <c r="N6773" s="44"/>
      <c r="O6773" s="44"/>
      <c r="P6773" s="44"/>
      <c r="Q6773" s="44"/>
      <c r="R6773" s="44"/>
      <c r="S6773" s="44"/>
      <c r="T6773" s="44"/>
      <c r="U6773" s="44"/>
      <c r="V6773" s="44"/>
      <c r="W6773" s="44"/>
      <c r="X6773" s="44"/>
      <c r="Y6773" s="44"/>
    </row>
    <row r="6774" spans="14:25" ht="15" customHeight="1" x14ac:dyDescent="0.25">
      <c r="N6774" s="44"/>
      <c r="O6774" s="44"/>
      <c r="P6774" s="44"/>
      <c r="Q6774" s="44"/>
      <c r="R6774" s="44"/>
      <c r="S6774" s="44"/>
      <c r="T6774" s="44"/>
      <c r="U6774" s="44"/>
      <c r="V6774" s="44"/>
      <c r="W6774" s="44"/>
      <c r="X6774" s="44"/>
      <c r="Y6774" s="44"/>
    </row>
    <row r="6775" spans="14:25" ht="15" customHeight="1" x14ac:dyDescent="0.25">
      <c r="N6775" s="44"/>
      <c r="O6775" s="44"/>
      <c r="P6775" s="44"/>
      <c r="Q6775" s="44"/>
      <c r="R6775" s="44"/>
      <c r="S6775" s="44"/>
      <c r="T6775" s="44"/>
      <c r="U6775" s="44"/>
      <c r="V6775" s="44"/>
      <c r="W6775" s="44"/>
      <c r="X6775" s="44"/>
      <c r="Y6775" s="44"/>
    </row>
    <row r="6776" spans="14:25" ht="15" customHeight="1" x14ac:dyDescent="0.25">
      <c r="N6776" s="44"/>
      <c r="O6776" s="44"/>
      <c r="P6776" s="44"/>
      <c r="Q6776" s="44"/>
      <c r="R6776" s="44"/>
      <c r="S6776" s="44"/>
      <c r="T6776" s="44"/>
      <c r="U6776" s="44"/>
      <c r="V6776" s="44"/>
      <c r="W6776" s="44"/>
      <c r="X6776" s="44"/>
      <c r="Y6776" s="44"/>
    </row>
    <row r="6777" spans="14:25" ht="15" customHeight="1" x14ac:dyDescent="0.25">
      <c r="N6777" s="44"/>
      <c r="O6777" s="44"/>
      <c r="P6777" s="44"/>
      <c r="Q6777" s="44"/>
      <c r="R6777" s="44"/>
      <c r="S6777" s="44"/>
      <c r="T6777" s="44"/>
      <c r="U6777" s="44"/>
      <c r="V6777" s="44"/>
      <c r="W6777" s="44"/>
      <c r="X6777" s="44"/>
      <c r="Y6777" s="44"/>
    </row>
    <row r="6778" spans="14:25" ht="15" customHeight="1" x14ac:dyDescent="0.25">
      <c r="N6778" s="44"/>
      <c r="O6778" s="44"/>
      <c r="P6778" s="44"/>
      <c r="Q6778" s="44"/>
      <c r="R6778" s="44"/>
      <c r="S6778" s="44"/>
      <c r="T6778" s="44"/>
      <c r="U6778" s="44"/>
      <c r="V6778" s="44"/>
      <c r="W6778" s="44"/>
      <c r="X6778" s="44"/>
      <c r="Y6778" s="44"/>
    </row>
    <row r="6779" spans="14:25" ht="15" customHeight="1" x14ac:dyDescent="0.25">
      <c r="N6779" s="44"/>
      <c r="O6779" s="44"/>
      <c r="P6779" s="44"/>
      <c r="Q6779" s="44"/>
      <c r="R6779" s="44"/>
      <c r="S6779" s="44"/>
      <c r="T6779" s="44"/>
      <c r="U6779" s="44"/>
      <c r="V6779" s="44"/>
      <c r="W6779" s="44"/>
      <c r="X6779" s="44"/>
      <c r="Y6779" s="44"/>
    </row>
    <row r="6780" spans="14:25" ht="15" customHeight="1" x14ac:dyDescent="0.25">
      <c r="N6780" s="44"/>
      <c r="O6780" s="44"/>
      <c r="P6780" s="44"/>
      <c r="Q6780" s="44"/>
      <c r="R6780" s="44"/>
      <c r="S6780" s="44"/>
      <c r="T6780" s="44"/>
      <c r="U6780" s="44"/>
      <c r="V6780" s="44"/>
      <c r="W6780" s="44"/>
      <c r="X6780" s="44"/>
      <c r="Y6780" s="44"/>
    </row>
    <row r="6781" spans="14:25" ht="15" customHeight="1" x14ac:dyDescent="0.25">
      <c r="N6781" s="44"/>
      <c r="O6781" s="44"/>
      <c r="P6781" s="44"/>
      <c r="Q6781" s="44"/>
      <c r="R6781" s="44"/>
      <c r="S6781" s="44"/>
      <c r="T6781" s="44"/>
      <c r="U6781" s="44"/>
      <c r="V6781" s="44"/>
      <c r="W6781" s="44"/>
      <c r="X6781" s="44"/>
      <c r="Y6781" s="44"/>
    </row>
    <row r="6782" spans="14:25" ht="15" customHeight="1" x14ac:dyDescent="0.25">
      <c r="N6782" s="44"/>
      <c r="O6782" s="44"/>
      <c r="P6782" s="44"/>
      <c r="Q6782" s="44"/>
      <c r="R6782" s="44"/>
      <c r="S6782" s="44"/>
      <c r="T6782" s="44"/>
      <c r="U6782" s="44"/>
      <c r="V6782" s="44"/>
      <c r="W6782" s="44"/>
      <c r="X6782" s="44"/>
      <c r="Y6782" s="44"/>
    </row>
    <row r="6783" spans="14:25" ht="15" customHeight="1" x14ac:dyDescent="0.25">
      <c r="N6783" s="44"/>
      <c r="O6783" s="44"/>
      <c r="P6783" s="44"/>
      <c r="Q6783" s="44"/>
      <c r="R6783" s="44"/>
      <c r="S6783" s="44"/>
      <c r="T6783" s="44"/>
      <c r="U6783" s="44"/>
      <c r="V6783" s="44"/>
      <c r="W6783" s="44"/>
      <c r="X6783" s="44"/>
      <c r="Y6783" s="44"/>
    </row>
    <row r="6784" spans="14:25" ht="15" customHeight="1" x14ac:dyDescent="0.25">
      <c r="N6784" s="44"/>
      <c r="O6784" s="44"/>
      <c r="P6784" s="44"/>
      <c r="Q6784" s="44"/>
      <c r="R6784" s="44"/>
      <c r="S6784" s="44"/>
      <c r="T6784" s="44"/>
      <c r="U6784" s="44"/>
      <c r="V6784" s="44"/>
      <c r="W6784" s="44"/>
      <c r="X6784" s="44"/>
      <c r="Y6784" s="44"/>
    </row>
    <row r="6785" spans="14:25" ht="15" customHeight="1" x14ac:dyDescent="0.25">
      <c r="N6785" s="44"/>
      <c r="O6785" s="44"/>
      <c r="P6785" s="44"/>
      <c r="Q6785" s="44"/>
      <c r="R6785" s="44"/>
      <c r="S6785" s="44"/>
      <c r="T6785" s="44"/>
      <c r="U6785" s="44"/>
      <c r="V6785" s="44"/>
      <c r="W6785" s="44"/>
      <c r="X6785" s="44"/>
      <c r="Y6785" s="44"/>
    </row>
    <row r="6786" spans="14:25" ht="15" customHeight="1" x14ac:dyDescent="0.25">
      <c r="N6786" s="44"/>
      <c r="O6786" s="44"/>
      <c r="P6786" s="44"/>
      <c r="Q6786" s="44"/>
      <c r="R6786" s="44"/>
      <c r="S6786" s="44"/>
      <c r="T6786" s="44"/>
      <c r="U6786" s="44"/>
      <c r="V6786" s="44"/>
      <c r="W6786" s="44"/>
      <c r="X6786" s="44"/>
      <c r="Y6786" s="44"/>
    </row>
    <row r="6787" spans="14:25" ht="15" customHeight="1" x14ac:dyDescent="0.25">
      <c r="N6787" s="44"/>
      <c r="O6787" s="44"/>
      <c r="P6787" s="44"/>
      <c r="Q6787" s="44"/>
      <c r="R6787" s="44"/>
      <c r="S6787" s="44"/>
      <c r="T6787" s="44"/>
      <c r="U6787" s="44"/>
      <c r="V6787" s="44"/>
      <c r="W6787" s="44"/>
      <c r="X6787" s="44"/>
      <c r="Y6787" s="44"/>
    </row>
    <row r="6788" spans="14:25" ht="15" customHeight="1" x14ac:dyDescent="0.25">
      <c r="N6788" s="44"/>
      <c r="O6788" s="44"/>
      <c r="P6788" s="44"/>
      <c r="Q6788" s="44"/>
      <c r="R6788" s="44"/>
      <c r="S6788" s="44"/>
      <c r="T6788" s="44"/>
      <c r="U6788" s="44"/>
      <c r="V6788" s="44"/>
      <c r="W6788" s="44"/>
      <c r="X6788" s="44"/>
      <c r="Y6788" s="44"/>
    </row>
    <row r="6789" spans="14:25" ht="15" customHeight="1" x14ac:dyDescent="0.25">
      <c r="N6789" s="44"/>
      <c r="O6789" s="44"/>
      <c r="P6789" s="44"/>
      <c r="Q6789" s="44"/>
      <c r="R6789" s="44"/>
      <c r="S6789" s="44"/>
      <c r="T6789" s="44"/>
      <c r="U6789" s="44"/>
      <c r="V6789" s="44"/>
      <c r="W6789" s="44"/>
      <c r="X6789" s="44"/>
      <c r="Y6789" s="44"/>
    </row>
    <row r="6790" spans="14:25" ht="15" customHeight="1" x14ac:dyDescent="0.25">
      <c r="N6790" s="44"/>
      <c r="O6790" s="44"/>
      <c r="P6790" s="44"/>
      <c r="Q6790" s="44"/>
      <c r="R6790" s="44"/>
      <c r="S6790" s="44"/>
      <c r="T6790" s="44"/>
      <c r="U6790" s="44"/>
      <c r="V6790" s="44"/>
      <c r="W6790" s="44"/>
      <c r="X6790" s="44"/>
      <c r="Y6790" s="44"/>
    </row>
    <row r="6791" spans="14:25" ht="15" customHeight="1" x14ac:dyDescent="0.25">
      <c r="N6791" s="44"/>
      <c r="O6791" s="44"/>
      <c r="P6791" s="44"/>
      <c r="Q6791" s="44"/>
      <c r="R6791" s="44"/>
      <c r="S6791" s="44"/>
      <c r="T6791" s="44"/>
      <c r="U6791" s="44"/>
      <c r="V6791" s="44"/>
      <c r="W6791" s="44"/>
      <c r="X6791" s="44"/>
      <c r="Y6791" s="44"/>
    </row>
    <row r="6792" spans="14:25" ht="15" customHeight="1" x14ac:dyDescent="0.25">
      <c r="N6792" s="44"/>
      <c r="O6792" s="44"/>
      <c r="P6792" s="44"/>
      <c r="Q6792" s="44"/>
      <c r="R6792" s="44"/>
      <c r="S6792" s="44"/>
      <c r="T6792" s="44"/>
      <c r="U6792" s="44"/>
      <c r="V6792" s="44"/>
      <c r="W6792" s="44"/>
      <c r="X6792" s="44"/>
      <c r="Y6792" s="44"/>
    </row>
    <row r="6793" spans="14:25" ht="15" customHeight="1" x14ac:dyDescent="0.25">
      <c r="N6793" s="44"/>
      <c r="O6793" s="44"/>
      <c r="P6793" s="44"/>
      <c r="Q6793" s="44"/>
      <c r="R6793" s="44"/>
      <c r="S6793" s="44"/>
      <c r="T6793" s="44"/>
      <c r="U6793" s="44"/>
      <c r="V6793" s="44"/>
      <c r="W6793" s="44"/>
      <c r="X6793" s="44"/>
      <c r="Y6793" s="44"/>
    </row>
    <row r="6794" spans="14:25" ht="15" customHeight="1" x14ac:dyDescent="0.25">
      <c r="N6794" s="44"/>
      <c r="O6794" s="44"/>
      <c r="P6794" s="44"/>
      <c r="Q6794" s="44"/>
      <c r="R6794" s="44"/>
      <c r="S6794" s="44"/>
      <c r="T6794" s="44"/>
      <c r="U6794" s="44"/>
      <c r="V6794" s="44"/>
      <c r="W6794" s="44"/>
      <c r="X6794" s="44"/>
      <c r="Y6794" s="44"/>
    </row>
    <row r="6795" spans="14:25" ht="15" customHeight="1" x14ac:dyDescent="0.25">
      <c r="N6795" s="44"/>
      <c r="O6795" s="44"/>
      <c r="P6795" s="44"/>
      <c r="Q6795" s="44"/>
      <c r="R6795" s="44"/>
      <c r="S6795" s="44"/>
      <c r="T6795" s="44"/>
      <c r="U6795" s="44"/>
      <c r="V6795" s="44"/>
      <c r="W6795" s="44"/>
      <c r="X6795" s="44"/>
      <c r="Y6795" s="44"/>
    </row>
    <row r="6796" spans="14:25" ht="15" customHeight="1" x14ac:dyDescent="0.25">
      <c r="N6796" s="44"/>
      <c r="O6796" s="44"/>
      <c r="P6796" s="44"/>
      <c r="Q6796" s="44"/>
      <c r="R6796" s="44"/>
      <c r="S6796" s="44"/>
      <c r="T6796" s="44"/>
      <c r="U6796" s="44"/>
      <c r="V6796" s="44"/>
      <c r="W6796" s="44"/>
      <c r="X6796" s="44"/>
      <c r="Y6796" s="44"/>
    </row>
    <row r="6797" spans="14:25" ht="15" customHeight="1" x14ac:dyDescent="0.25">
      <c r="N6797" s="44"/>
      <c r="O6797" s="44"/>
      <c r="P6797" s="44"/>
      <c r="Q6797" s="44"/>
      <c r="R6797" s="44"/>
      <c r="S6797" s="44"/>
      <c r="T6797" s="44"/>
      <c r="U6797" s="44"/>
      <c r="V6797" s="44"/>
      <c r="W6797" s="44"/>
      <c r="X6797" s="44"/>
      <c r="Y6797" s="44"/>
    </row>
    <row r="6798" spans="14:25" ht="15" customHeight="1" x14ac:dyDescent="0.25">
      <c r="N6798" s="44"/>
      <c r="O6798" s="44"/>
      <c r="P6798" s="44"/>
      <c r="Q6798" s="44"/>
      <c r="R6798" s="44"/>
      <c r="S6798" s="44"/>
      <c r="T6798" s="44"/>
      <c r="U6798" s="44"/>
      <c r="V6798" s="44"/>
      <c r="W6798" s="44"/>
      <c r="X6798" s="44"/>
      <c r="Y6798" s="44"/>
    </row>
    <row r="6799" spans="14:25" ht="15" customHeight="1" x14ac:dyDescent="0.25">
      <c r="N6799" s="44"/>
      <c r="O6799" s="44"/>
      <c r="P6799" s="44"/>
      <c r="Q6799" s="44"/>
      <c r="R6799" s="44"/>
      <c r="S6799" s="44"/>
      <c r="T6799" s="44"/>
      <c r="U6799" s="44"/>
      <c r="V6799" s="44"/>
      <c r="W6799" s="44"/>
      <c r="X6799" s="44"/>
      <c r="Y6799" s="44"/>
    </row>
    <row r="6800" spans="14:25" ht="15" customHeight="1" x14ac:dyDescent="0.25">
      <c r="N6800" s="44"/>
      <c r="O6800" s="44"/>
      <c r="P6800" s="44"/>
      <c r="Q6800" s="44"/>
      <c r="R6800" s="44"/>
      <c r="S6800" s="44"/>
      <c r="T6800" s="44"/>
      <c r="U6800" s="44"/>
      <c r="V6800" s="44"/>
      <c r="W6800" s="44"/>
      <c r="X6800" s="44"/>
      <c r="Y6800" s="44"/>
    </row>
    <row r="6801" spans="14:25" ht="15" customHeight="1" x14ac:dyDescent="0.25">
      <c r="N6801" s="44"/>
      <c r="O6801" s="44"/>
      <c r="P6801" s="44"/>
      <c r="Q6801" s="44"/>
      <c r="R6801" s="44"/>
      <c r="S6801" s="44"/>
      <c r="T6801" s="44"/>
      <c r="U6801" s="44"/>
      <c r="V6801" s="44"/>
      <c r="W6801" s="44"/>
      <c r="X6801" s="44"/>
      <c r="Y6801" s="44"/>
    </row>
    <row r="6802" spans="14:25" ht="15" customHeight="1" x14ac:dyDescent="0.25">
      <c r="N6802" s="44"/>
      <c r="O6802" s="44"/>
      <c r="P6802" s="44"/>
      <c r="Q6802" s="44"/>
      <c r="R6802" s="44"/>
      <c r="S6802" s="44"/>
      <c r="T6802" s="44"/>
      <c r="U6802" s="44"/>
      <c r="V6802" s="44"/>
      <c r="W6802" s="44"/>
      <c r="X6802" s="44"/>
      <c r="Y6802" s="44"/>
    </row>
    <row r="6803" spans="14:25" ht="15" customHeight="1" x14ac:dyDescent="0.25">
      <c r="N6803" s="44"/>
      <c r="O6803" s="44"/>
      <c r="P6803" s="44"/>
      <c r="Q6803" s="44"/>
      <c r="R6803" s="44"/>
      <c r="S6803" s="44"/>
      <c r="T6803" s="44"/>
      <c r="U6803" s="44"/>
      <c r="V6803" s="44"/>
      <c r="W6803" s="44"/>
      <c r="X6803" s="44"/>
      <c r="Y6803" s="44"/>
    </row>
    <row r="6804" spans="14:25" ht="15" customHeight="1" x14ac:dyDescent="0.25">
      <c r="N6804" s="44"/>
      <c r="O6804" s="44"/>
      <c r="P6804" s="44"/>
      <c r="Q6804" s="44"/>
      <c r="R6804" s="44"/>
      <c r="S6804" s="44"/>
      <c r="T6804" s="44"/>
      <c r="U6804" s="44"/>
      <c r="V6804" s="44"/>
      <c r="W6804" s="44"/>
      <c r="X6804" s="44"/>
      <c r="Y6804" s="44"/>
    </row>
    <row r="6805" spans="14:25" ht="15" customHeight="1" x14ac:dyDescent="0.25">
      <c r="N6805" s="44"/>
      <c r="O6805" s="44"/>
      <c r="P6805" s="44"/>
      <c r="Q6805" s="44"/>
      <c r="R6805" s="44"/>
      <c r="S6805" s="44"/>
      <c r="T6805" s="44"/>
      <c r="U6805" s="44"/>
      <c r="V6805" s="44"/>
      <c r="W6805" s="44"/>
      <c r="X6805" s="44"/>
      <c r="Y6805" s="44"/>
    </row>
    <row r="6806" spans="14:25" ht="15" customHeight="1" x14ac:dyDescent="0.25">
      <c r="N6806" s="44"/>
      <c r="O6806" s="44"/>
      <c r="P6806" s="44"/>
      <c r="Q6806" s="44"/>
      <c r="R6806" s="44"/>
      <c r="S6806" s="44"/>
      <c r="T6806" s="44"/>
      <c r="U6806" s="44"/>
      <c r="V6806" s="44"/>
      <c r="W6806" s="44"/>
      <c r="X6806" s="44"/>
      <c r="Y6806" s="44"/>
    </row>
    <row r="6807" spans="14:25" ht="15" customHeight="1" x14ac:dyDescent="0.25">
      <c r="N6807" s="44"/>
      <c r="O6807" s="44"/>
      <c r="P6807" s="44"/>
      <c r="Q6807" s="44"/>
      <c r="R6807" s="44"/>
      <c r="S6807" s="44"/>
      <c r="T6807" s="44"/>
      <c r="U6807" s="44"/>
      <c r="V6807" s="44"/>
      <c r="W6807" s="44"/>
      <c r="X6807" s="44"/>
      <c r="Y6807" s="44"/>
    </row>
    <row r="6808" spans="14:25" ht="15" customHeight="1" x14ac:dyDescent="0.25">
      <c r="N6808" s="44"/>
      <c r="O6808" s="44"/>
      <c r="P6808" s="44"/>
      <c r="Q6808" s="44"/>
      <c r="R6808" s="44"/>
      <c r="S6808" s="44"/>
      <c r="T6808" s="44"/>
      <c r="U6808" s="44"/>
      <c r="V6808" s="44"/>
      <c r="W6808" s="44"/>
      <c r="X6808" s="44"/>
      <c r="Y6808" s="44"/>
    </row>
    <row r="6809" spans="14:25" ht="15" customHeight="1" x14ac:dyDescent="0.25">
      <c r="N6809" s="44"/>
      <c r="O6809" s="44"/>
      <c r="P6809" s="44"/>
      <c r="Q6809" s="44"/>
      <c r="R6809" s="44"/>
      <c r="S6809" s="44"/>
      <c r="T6809" s="44"/>
      <c r="U6809" s="44"/>
      <c r="V6809" s="44"/>
      <c r="W6809" s="44"/>
      <c r="X6809" s="44"/>
      <c r="Y6809" s="44"/>
    </row>
    <row r="6810" spans="14:25" ht="15" customHeight="1" x14ac:dyDescent="0.25">
      <c r="N6810" s="44"/>
      <c r="O6810" s="44"/>
      <c r="P6810" s="44"/>
      <c r="Q6810" s="44"/>
      <c r="R6810" s="44"/>
      <c r="S6810" s="44"/>
      <c r="T6810" s="44"/>
      <c r="U6810" s="44"/>
      <c r="V6810" s="44"/>
      <c r="W6810" s="44"/>
      <c r="X6810" s="44"/>
      <c r="Y6810" s="44"/>
    </row>
    <row r="6811" spans="14:25" ht="15" customHeight="1" x14ac:dyDescent="0.25">
      <c r="N6811" s="44"/>
      <c r="O6811" s="44"/>
      <c r="P6811" s="44"/>
      <c r="Q6811" s="44"/>
      <c r="R6811" s="44"/>
      <c r="S6811" s="44"/>
      <c r="T6811" s="44"/>
      <c r="U6811" s="44"/>
      <c r="V6811" s="44"/>
      <c r="W6811" s="44"/>
      <c r="X6811" s="44"/>
      <c r="Y6811" s="44"/>
    </row>
    <row r="6812" spans="14:25" ht="15" customHeight="1" x14ac:dyDescent="0.25">
      <c r="N6812" s="44"/>
      <c r="O6812" s="44"/>
      <c r="P6812" s="44"/>
      <c r="Q6812" s="44"/>
      <c r="R6812" s="44"/>
      <c r="S6812" s="44"/>
      <c r="T6812" s="44"/>
      <c r="U6812" s="44"/>
      <c r="V6812" s="44"/>
      <c r="W6812" s="44"/>
      <c r="X6812" s="44"/>
      <c r="Y6812" s="44"/>
    </row>
    <row r="6813" spans="14:25" ht="15" customHeight="1" x14ac:dyDescent="0.25">
      <c r="N6813" s="44"/>
      <c r="O6813" s="44"/>
      <c r="P6813" s="44"/>
      <c r="Q6813" s="44"/>
      <c r="R6813" s="44"/>
      <c r="S6813" s="44"/>
      <c r="T6813" s="44"/>
      <c r="U6813" s="44"/>
      <c r="V6813" s="44"/>
      <c r="W6813" s="44"/>
      <c r="X6813" s="44"/>
      <c r="Y6813" s="44"/>
    </row>
    <row r="6814" spans="14:25" ht="15" customHeight="1" x14ac:dyDescent="0.25">
      <c r="N6814" s="44"/>
      <c r="O6814" s="44"/>
      <c r="P6814" s="44"/>
      <c r="Q6814" s="44"/>
      <c r="R6814" s="44"/>
      <c r="S6814" s="44"/>
      <c r="T6814" s="44"/>
      <c r="U6814" s="44"/>
      <c r="V6814" s="44"/>
      <c r="W6814" s="44"/>
      <c r="X6814" s="44"/>
      <c r="Y6814" s="44"/>
    </row>
    <row r="6815" spans="14:25" ht="15" customHeight="1" x14ac:dyDescent="0.25">
      <c r="N6815" s="44"/>
      <c r="O6815" s="44"/>
      <c r="P6815" s="44"/>
      <c r="Q6815" s="44"/>
      <c r="R6815" s="44"/>
      <c r="S6815" s="44"/>
      <c r="T6815" s="44"/>
      <c r="U6815" s="44"/>
      <c r="V6815" s="44"/>
      <c r="W6815" s="44"/>
      <c r="X6815" s="44"/>
      <c r="Y6815" s="44"/>
    </row>
    <row r="6816" spans="14:25" ht="15" customHeight="1" x14ac:dyDescent="0.25">
      <c r="N6816" s="44"/>
      <c r="O6816" s="44"/>
      <c r="P6816" s="44"/>
      <c r="Q6816" s="44"/>
      <c r="R6816" s="44"/>
      <c r="S6816" s="44"/>
      <c r="T6816" s="44"/>
      <c r="U6816" s="44"/>
      <c r="V6816" s="44"/>
      <c r="W6816" s="44"/>
      <c r="X6816" s="44"/>
      <c r="Y6816" s="44"/>
    </row>
    <row r="6817" spans="14:25" ht="15" customHeight="1" x14ac:dyDescent="0.25">
      <c r="N6817" s="44"/>
      <c r="O6817" s="44"/>
      <c r="P6817" s="44"/>
      <c r="Q6817" s="44"/>
      <c r="R6817" s="44"/>
      <c r="S6817" s="44"/>
      <c r="T6817" s="44"/>
      <c r="U6817" s="44"/>
      <c r="V6817" s="44"/>
      <c r="W6817" s="44"/>
      <c r="X6817" s="44"/>
      <c r="Y6817" s="44"/>
    </row>
    <row r="6818" spans="14:25" ht="15" customHeight="1" x14ac:dyDescent="0.25">
      <c r="N6818" s="44"/>
      <c r="O6818" s="44"/>
      <c r="P6818" s="44"/>
      <c r="Q6818" s="44"/>
      <c r="R6818" s="44"/>
      <c r="S6818" s="44"/>
      <c r="T6818" s="44"/>
      <c r="U6818" s="44"/>
      <c r="V6818" s="44"/>
      <c r="W6818" s="44"/>
      <c r="X6818" s="44"/>
      <c r="Y6818" s="44"/>
    </row>
    <row r="6819" spans="14:25" ht="15" customHeight="1" x14ac:dyDescent="0.25">
      <c r="N6819" s="44"/>
      <c r="O6819" s="44"/>
      <c r="P6819" s="44"/>
      <c r="Q6819" s="44"/>
      <c r="R6819" s="44"/>
      <c r="S6819" s="44"/>
      <c r="T6819" s="44"/>
      <c r="U6819" s="44"/>
      <c r="V6819" s="44"/>
      <c r="W6819" s="44"/>
      <c r="X6819" s="44"/>
      <c r="Y6819" s="44"/>
    </row>
    <row r="6820" spans="14:25" ht="15" customHeight="1" x14ac:dyDescent="0.25">
      <c r="N6820" s="44"/>
      <c r="O6820" s="44"/>
      <c r="P6820" s="44"/>
      <c r="Q6820" s="44"/>
      <c r="R6820" s="44"/>
      <c r="S6820" s="44"/>
      <c r="T6820" s="44"/>
      <c r="U6820" s="44"/>
      <c r="V6820" s="44"/>
      <c r="W6820" s="44"/>
      <c r="X6820" s="44"/>
      <c r="Y6820" s="44"/>
    </row>
    <row r="6821" spans="14:25" ht="15" customHeight="1" x14ac:dyDescent="0.25">
      <c r="N6821" s="44"/>
      <c r="O6821" s="44"/>
      <c r="P6821" s="44"/>
      <c r="Q6821" s="44"/>
      <c r="R6821" s="44"/>
      <c r="S6821" s="44"/>
      <c r="T6821" s="44"/>
      <c r="U6821" s="44"/>
      <c r="V6821" s="44"/>
      <c r="W6821" s="44"/>
      <c r="X6821" s="44"/>
      <c r="Y6821" s="44"/>
    </row>
    <row r="6822" spans="14:25" ht="15" customHeight="1" x14ac:dyDescent="0.25">
      <c r="N6822" s="44"/>
      <c r="O6822" s="44"/>
      <c r="P6822" s="44"/>
      <c r="Q6822" s="44"/>
      <c r="R6822" s="44"/>
      <c r="S6822" s="44"/>
      <c r="T6822" s="44"/>
      <c r="U6822" s="44"/>
      <c r="V6822" s="44"/>
      <c r="W6822" s="44"/>
      <c r="X6822" s="44"/>
      <c r="Y6822" s="44"/>
    </row>
    <row r="6823" spans="14:25" ht="15" customHeight="1" x14ac:dyDescent="0.25">
      <c r="N6823" s="44"/>
      <c r="O6823" s="44"/>
      <c r="P6823" s="44"/>
      <c r="Q6823" s="44"/>
      <c r="R6823" s="44"/>
      <c r="S6823" s="44"/>
      <c r="T6823" s="44"/>
      <c r="U6823" s="44"/>
      <c r="V6823" s="44"/>
      <c r="W6823" s="44"/>
      <c r="X6823" s="44"/>
      <c r="Y6823" s="44"/>
    </row>
    <row r="6824" spans="14:25" ht="15" customHeight="1" x14ac:dyDescent="0.25">
      <c r="N6824" s="44"/>
      <c r="O6824" s="44"/>
      <c r="P6824" s="44"/>
      <c r="Q6824" s="44"/>
      <c r="R6824" s="44"/>
      <c r="S6824" s="44"/>
      <c r="T6824" s="44"/>
      <c r="U6824" s="44"/>
      <c r="V6824" s="44"/>
      <c r="W6824" s="44"/>
      <c r="X6824" s="44"/>
      <c r="Y6824" s="44"/>
    </row>
    <row r="6825" spans="14:25" ht="15" customHeight="1" x14ac:dyDescent="0.25">
      <c r="N6825" s="44"/>
      <c r="O6825" s="44"/>
      <c r="P6825" s="44"/>
      <c r="Q6825" s="44"/>
      <c r="R6825" s="44"/>
      <c r="S6825" s="44"/>
      <c r="T6825" s="44"/>
      <c r="U6825" s="44"/>
      <c r="V6825" s="44"/>
      <c r="W6825" s="44"/>
      <c r="X6825" s="44"/>
      <c r="Y6825" s="44"/>
    </row>
    <row r="6826" spans="14:25" ht="15" customHeight="1" x14ac:dyDescent="0.25">
      <c r="N6826" s="44"/>
      <c r="O6826" s="44"/>
      <c r="P6826" s="44"/>
      <c r="Q6826" s="44"/>
      <c r="R6826" s="44"/>
      <c r="S6826" s="44"/>
      <c r="T6826" s="44"/>
      <c r="U6826" s="44"/>
      <c r="V6826" s="44"/>
      <c r="W6826" s="44"/>
      <c r="X6826" s="44"/>
      <c r="Y6826" s="44"/>
    </row>
    <row r="6827" spans="14:25" ht="15" customHeight="1" x14ac:dyDescent="0.25">
      <c r="N6827" s="44"/>
      <c r="O6827" s="44"/>
      <c r="P6827" s="44"/>
      <c r="Q6827" s="44"/>
      <c r="R6827" s="44"/>
      <c r="S6827" s="44"/>
      <c r="T6827" s="44"/>
      <c r="U6827" s="44"/>
      <c r="V6827" s="44"/>
      <c r="W6827" s="44"/>
      <c r="X6827" s="44"/>
      <c r="Y6827" s="44"/>
    </row>
    <row r="6828" spans="14:25" ht="15" customHeight="1" x14ac:dyDescent="0.25">
      <c r="N6828" s="44"/>
      <c r="O6828" s="44"/>
      <c r="P6828" s="44"/>
      <c r="Q6828" s="44"/>
      <c r="R6828" s="44"/>
      <c r="S6828" s="44"/>
      <c r="T6828" s="44"/>
      <c r="U6828" s="44"/>
      <c r="V6828" s="44"/>
      <c r="W6828" s="44"/>
      <c r="X6828" s="44"/>
      <c r="Y6828" s="44"/>
    </row>
    <row r="6829" spans="14:25" ht="15" customHeight="1" x14ac:dyDescent="0.25">
      <c r="N6829" s="44"/>
      <c r="O6829" s="44"/>
      <c r="P6829" s="44"/>
      <c r="Q6829" s="44"/>
      <c r="R6829" s="44"/>
      <c r="S6829" s="44"/>
      <c r="T6829" s="44"/>
      <c r="U6829" s="44"/>
      <c r="V6829" s="44"/>
      <c r="W6829" s="44"/>
      <c r="X6829" s="44"/>
      <c r="Y6829" s="44"/>
    </row>
    <row r="6830" spans="14:25" ht="15" customHeight="1" x14ac:dyDescent="0.25">
      <c r="N6830" s="44"/>
      <c r="O6830" s="44"/>
      <c r="P6830" s="44"/>
      <c r="Q6830" s="44"/>
      <c r="R6830" s="44"/>
      <c r="S6830" s="44"/>
      <c r="T6830" s="44"/>
      <c r="U6830" s="44"/>
      <c r="V6830" s="44"/>
      <c r="W6830" s="44"/>
      <c r="X6830" s="44"/>
      <c r="Y6830" s="44"/>
    </row>
    <row r="6831" spans="14:25" ht="15" customHeight="1" x14ac:dyDescent="0.25">
      <c r="N6831" s="44"/>
      <c r="O6831" s="44"/>
      <c r="P6831" s="44"/>
      <c r="Q6831" s="44"/>
      <c r="R6831" s="44"/>
      <c r="S6831" s="44"/>
      <c r="T6831" s="44"/>
      <c r="U6831" s="44"/>
      <c r="V6831" s="44"/>
      <c r="W6831" s="44"/>
      <c r="X6831" s="44"/>
      <c r="Y6831" s="44"/>
    </row>
    <row r="6832" spans="14:25" ht="15" customHeight="1" x14ac:dyDescent="0.25">
      <c r="N6832" s="44"/>
      <c r="O6832" s="44"/>
      <c r="P6832" s="44"/>
      <c r="Q6832" s="44"/>
      <c r="R6832" s="44"/>
      <c r="S6832" s="44"/>
      <c r="T6832" s="44"/>
      <c r="U6832" s="44"/>
      <c r="V6832" s="44"/>
      <c r="W6832" s="44"/>
      <c r="X6832" s="44"/>
      <c r="Y6832" s="44"/>
    </row>
    <row r="6833" spans="14:25" ht="15" customHeight="1" x14ac:dyDescent="0.25">
      <c r="N6833" s="44"/>
      <c r="O6833" s="44"/>
      <c r="P6833" s="44"/>
      <c r="Q6833" s="44"/>
      <c r="R6833" s="44"/>
      <c r="S6833" s="44"/>
      <c r="T6833" s="44"/>
      <c r="U6833" s="44"/>
      <c r="V6833" s="44"/>
      <c r="W6833" s="44"/>
      <c r="X6833" s="44"/>
      <c r="Y6833" s="44"/>
    </row>
    <row r="6834" spans="14:25" ht="15" customHeight="1" x14ac:dyDescent="0.25">
      <c r="N6834" s="44"/>
      <c r="O6834" s="44"/>
      <c r="P6834" s="44"/>
      <c r="Q6834" s="44"/>
      <c r="R6834" s="44"/>
      <c r="S6834" s="44"/>
      <c r="T6834" s="44"/>
      <c r="U6834" s="44"/>
      <c r="V6834" s="44"/>
      <c r="W6834" s="44"/>
      <c r="X6834" s="44"/>
      <c r="Y6834" s="44"/>
    </row>
    <row r="6835" spans="14:25" ht="15" customHeight="1" x14ac:dyDescent="0.25">
      <c r="N6835" s="44"/>
      <c r="O6835" s="44"/>
      <c r="P6835" s="44"/>
      <c r="Q6835" s="44"/>
      <c r="R6835" s="44"/>
      <c r="S6835" s="44"/>
      <c r="T6835" s="44"/>
      <c r="U6835" s="44"/>
      <c r="V6835" s="44"/>
      <c r="W6835" s="44"/>
      <c r="X6835" s="44"/>
      <c r="Y6835" s="44"/>
    </row>
    <row r="6836" spans="14:25" ht="15" customHeight="1" x14ac:dyDescent="0.25">
      <c r="N6836" s="44"/>
      <c r="O6836" s="44"/>
      <c r="P6836" s="44"/>
      <c r="Q6836" s="44"/>
      <c r="R6836" s="44"/>
      <c r="S6836" s="44"/>
      <c r="T6836" s="44"/>
      <c r="U6836" s="44"/>
      <c r="V6836" s="44"/>
      <c r="W6836" s="44"/>
      <c r="X6836" s="44"/>
      <c r="Y6836" s="44"/>
    </row>
    <row r="6837" spans="14:25" ht="15" customHeight="1" x14ac:dyDescent="0.25">
      <c r="N6837" s="44"/>
      <c r="O6837" s="44"/>
      <c r="P6837" s="44"/>
      <c r="Q6837" s="44"/>
      <c r="R6837" s="44"/>
      <c r="S6837" s="44"/>
      <c r="T6837" s="44"/>
      <c r="U6837" s="44"/>
      <c r="V6837" s="44"/>
      <c r="W6837" s="44"/>
      <c r="X6837" s="44"/>
      <c r="Y6837" s="44"/>
    </row>
    <row r="6838" spans="14:25" ht="15" customHeight="1" x14ac:dyDescent="0.25">
      <c r="N6838" s="44"/>
      <c r="O6838" s="44"/>
      <c r="P6838" s="44"/>
      <c r="Q6838" s="44"/>
      <c r="R6838" s="44"/>
      <c r="S6838" s="44"/>
      <c r="T6838" s="44"/>
      <c r="U6838" s="44"/>
      <c r="V6838" s="44"/>
      <c r="W6838" s="44"/>
      <c r="X6838" s="44"/>
      <c r="Y6838" s="44"/>
    </row>
    <row r="6839" spans="14:25" ht="15" customHeight="1" x14ac:dyDescent="0.25">
      <c r="N6839" s="44"/>
      <c r="O6839" s="44"/>
      <c r="P6839" s="44"/>
      <c r="Q6839" s="44"/>
      <c r="R6839" s="44"/>
      <c r="S6839" s="44"/>
      <c r="T6839" s="44"/>
      <c r="U6839" s="44"/>
      <c r="V6839" s="44"/>
      <c r="W6839" s="44"/>
      <c r="X6839" s="44"/>
      <c r="Y6839" s="44"/>
    </row>
    <row r="6840" spans="14:25" ht="15" customHeight="1" x14ac:dyDescent="0.25">
      <c r="N6840" s="44"/>
      <c r="O6840" s="44"/>
      <c r="P6840" s="44"/>
      <c r="Q6840" s="44"/>
      <c r="R6840" s="44"/>
      <c r="S6840" s="44"/>
      <c r="T6840" s="44"/>
      <c r="U6840" s="44"/>
      <c r="V6840" s="44"/>
      <c r="W6840" s="44"/>
      <c r="X6840" s="44"/>
      <c r="Y6840" s="44"/>
    </row>
    <row r="6841" spans="14:25" ht="15" customHeight="1" x14ac:dyDescent="0.25">
      <c r="N6841" s="44"/>
      <c r="O6841" s="44"/>
      <c r="P6841" s="44"/>
      <c r="Q6841" s="44"/>
      <c r="R6841" s="44"/>
      <c r="S6841" s="44"/>
      <c r="T6841" s="44"/>
      <c r="U6841" s="44"/>
      <c r="V6841" s="44"/>
      <c r="W6841" s="44"/>
      <c r="X6841" s="44"/>
      <c r="Y6841" s="44"/>
    </row>
    <row r="6842" spans="14:25" ht="15" customHeight="1" x14ac:dyDescent="0.25">
      <c r="N6842" s="44"/>
      <c r="O6842" s="44"/>
      <c r="P6842" s="44"/>
      <c r="Q6842" s="44"/>
      <c r="R6842" s="44"/>
      <c r="S6842" s="44"/>
      <c r="T6842" s="44"/>
      <c r="U6842" s="44"/>
      <c r="V6842" s="44"/>
      <c r="W6842" s="44"/>
      <c r="X6842" s="44"/>
      <c r="Y6842" s="44"/>
    </row>
    <row r="6843" spans="14:25" ht="15" customHeight="1" x14ac:dyDescent="0.25">
      <c r="N6843" s="44"/>
      <c r="O6843" s="44"/>
      <c r="P6843" s="44"/>
      <c r="Q6843" s="44"/>
      <c r="R6843" s="44"/>
      <c r="S6843" s="44"/>
      <c r="T6843" s="44"/>
      <c r="U6843" s="44"/>
      <c r="V6843" s="44"/>
      <c r="W6843" s="44"/>
      <c r="X6843" s="44"/>
      <c r="Y6843" s="44"/>
    </row>
    <row r="6844" spans="14:25" ht="15" customHeight="1" x14ac:dyDescent="0.25">
      <c r="N6844" s="44"/>
      <c r="O6844" s="44"/>
      <c r="P6844" s="44"/>
      <c r="Q6844" s="44"/>
      <c r="R6844" s="44"/>
      <c r="S6844" s="44"/>
      <c r="T6844" s="44"/>
      <c r="U6844" s="44"/>
      <c r="V6844" s="44"/>
      <c r="W6844" s="44"/>
      <c r="X6844" s="44"/>
      <c r="Y6844" s="44"/>
    </row>
    <row r="6845" spans="14:25" ht="15" customHeight="1" x14ac:dyDescent="0.25">
      <c r="N6845" s="44"/>
      <c r="O6845" s="44"/>
      <c r="P6845" s="44"/>
      <c r="Q6845" s="44"/>
      <c r="R6845" s="44"/>
      <c r="S6845" s="44"/>
      <c r="T6845" s="44"/>
      <c r="U6845" s="44"/>
      <c r="V6845" s="44"/>
      <c r="W6845" s="44"/>
      <c r="X6845" s="44"/>
      <c r="Y6845" s="44"/>
    </row>
    <row r="6846" spans="14:25" ht="15" customHeight="1" x14ac:dyDescent="0.25">
      <c r="N6846" s="44"/>
      <c r="O6846" s="44"/>
      <c r="P6846" s="44"/>
      <c r="Q6846" s="44"/>
      <c r="R6846" s="44"/>
      <c r="S6846" s="44"/>
      <c r="T6846" s="44"/>
      <c r="U6846" s="44"/>
      <c r="V6846" s="44"/>
      <c r="W6846" s="44"/>
      <c r="X6846" s="44"/>
      <c r="Y6846" s="44"/>
    </row>
    <row r="6847" spans="14:25" ht="15" customHeight="1" x14ac:dyDescent="0.25">
      <c r="N6847" s="44"/>
      <c r="O6847" s="44"/>
      <c r="P6847" s="44"/>
      <c r="Q6847" s="44"/>
      <c r="R6847" s="44"/>
      <c r="S6847" s="44"/>
      <c r="T6847" s="44"/>
      <c r="U6847" s="44"/>
      <c r="V6847" s="44"/>
      <c r="W6847" s="44"/>
      <c r="X6847" s="44"/>
      <c r="Y6847" s="44"/>
    </row>
    <row r="6848" spans="14:25" ht="15" customHeight="1" x14ac:dyDescent="0.25">
      <c r="N6848" s="44"/>
      <c r="O6848" s="44"/>
      <c r="P6848" s="44"/>
      <c r="Q6848" s="44"/>
      <c r="R6848" s="44"/>
      <c r="S6848" s="44"/>
      <c r="T6848" s="44"/>
      <c r="U6848" s="44"/>
      <c r="V6848" s="44"/>
      <c r="W6848" s="44"/>
      <c r="X6848" s="44"/>
      <c r="Y6848" s="44"/>
    </row>
    <row r="6849" spans="14:25" ht="15" customHeight="1" x14ac:dyDescent="0.25">
      <c r="N6849" s="44"/>
      <c r="O6849" s="44"/>
      <c r="P6849" s="44"/>
      <c r="Q6849" s="44"/>
      <c r="R6849" s="44"/>
      <c r="S6849" s="44"/>
      <c r="T6849" s="44"/>
      <c r="U6849" s="44"/>
      <c r="V6849" s="44"/>
      <c r="W6849" s="44"/>
      <c r="X6849" s="44"/>
      <c r="Y6849" s="44"/>
    </row>
    <row r="6850" spans="14:25" ht="15" customHeight="1" x14ac:dyDescent="0.25">
      <c r="N6850" s="44"/>
      <c r="O6850" s="44"/>
      <c r="P6850" s="44"/>
      <c r="Q6850" s="44"/>
      <c r="R6850" s="44"/>
      <c r="S6850" s="44"/>
      <c r="T6850" s="44"/>
      <c r="U6850" s="44"/>
      <c r="V6850" s="44"/>
      <c r="W6850" s="44"/>
      <c r="X6850" s="44"/>
      <c r="Y6850" s="44"/>
    </row>
    <row r="6851" spans="14:25" ht="15" customHeight="1" x14ac:dyDescent="0.25">
      <c r="N6851" s="44"/>
      <c r="O6851" s="44"/>
      <c r="P6851" s="44"/>
      <c r="Q6851" s="44"/>
      <c r="R6851" s="44"/>
      <c r="S6851" s="44"/>
      <c r="T6851" s="44"/>
      <c r="U6851" s="44"/>
      <c r="V6851" s="44"/>
      <c r="W6851" s="44"/>
      <c r="X6851" s="44"/>
      <c r="Y6851" s="44"/>
    </row>
    <row r="6852" spans="14:25" ht="15" customHeight="1" x14ac:dyDescent="0.25">
      <c r="N6852" s="44"/>
      <c r="O6852" s="44"/>
      <c r="P6852" s="44"/>
      <c r="Q6852" s="44"/>
      <c r="R6852" s="44"/>
      <c r="S6852" s="44"/>
      <c r="T6852" s="44"/>
      <c r="U6852" s="44"/>
      <c r="V6852" s="44"/>
      <c r="W6852" s="44"/>
      <c r="X6852" s="44"/>
      <c r="Y6852" s="44"/>
    </row>
    <row r="6853" spans="14:25" ht="15" customHeight="1" x14ac:dyDescent="0.25">
      <c r="N6853" s="44"/>
      <c r="O6853" s="44"/>
      <c r="P6853" s="44"/>
      <c r="Q6853" s="44"/>
      <c r="R6853" s="44"/>
      <c r="S6853" s="44"/>
      <c r="T6853" s="44"/>
      <c r="U6853" s="44"/>
      <c r="V6853" s="44"/>
      <c r="W6853" s="44"/>
      <c r="X6853" s="44"/>
      <c r="Y6853" s="44"/>
    </row>
    <row r="6854" spans="14:25" ht="15" customHeight="1" x14ac:dyDescent="0.25">
      <c r="N6854" s="44"/>
      <c r="O6854" s="44"/>
      <c r="P6854" s="44"/>
      <c r="Q6854" s="44"/>
      <c r="R6854" s="44"/>
      <c r="S6854" s="44"/>
      <c r="T6854" s="44"/>
      <c r="U6854" s="44"/>
      <c r="V6854" s="44"/>
      <c r="W6854" s="44"/>
      <c r="X6854" s="44"/>
      <c r="Y6854" s="44"/>
    </row>
    <row r="6855" spans="14:25" ht="15" customHeight="1" x14ac:dyDescent="0.25">
      <c r="N6855" s="44"/>
      <c r="O6855" s="44"/>
      <c r="P6855" s="44"/>
      <c r="Q6855" s="44"/>
      <c r="R6855" s="44"/>
      <c r="S6855" s="44"/>
      <c r="T6855" s="44"/>
      <c r="U6855" s="44"/>
      <c r="V6855" s="44"/>
      <c r="W6855" s="44"/>
      <c r="X6855" s="44"/>
      <c r="Y6855" s="44"/>
    </row>
    <row r="6856" spans="14:25" ht="15" customHeight="1" x14ac:dyDescent="0.25">
      <c r="N6856" s="44"/>
      <c r="O6856" s="44"/>
      <c r="P6856" s="44"/>
      <c r="Q6856" s="44"/>
      <c r="R6856" s="44"/>
      <c r="S6856" s="44"/>
      <c r="T6856" s="44"/>
      <c r="U6856" s="44"/>
      <c r="V6856" s="44"/>
      <c r="W6856" s="44"/>
      <c r="X6856" s="44"/>
      <c r="Y6856" s="44"/>
    </row>
    <row r="6857" spans="14:25" ht="15" customHeight="1" x14ac:dyDescent="0.25">
      <c r="N6857" s="44"/>
      <c r="O6857" s="44"/>
      <c r="P6857" s="44"/>
      <c r="Q6857" s="44"/>
      <c r="R6857" s="44"/>
      <c r="S6857" s="44"/>
      <c r="T6857" s="44"/>
      <c r="U6857" s="44"/>
      <c r="V6857" s="44"/>
      <c r="W6857" s="44"/>
      <c r="X6857" s="44"/>
      <c r="Y6857" s="44"/>
    </row>
    <row r="6858" spans="14:25" ht="15" customHeight="1" x14ac:dyDescent="0.25">
      <c r="N6858" s="44"/>
      <c r="O6858" s="44"/>
      <c r="P6858" s="44"/>
      <c r="Q6858" s="44"/>
      <c r="R6858" s="44"/>
      <c r="S6858" s="44"/>
      <c r="T6858" s="44"/>
      <c r="U6858" s="44"/>
      <c r="V6858" s="44"/>
      <c r="W6858" s="44"/>
      <c r="X6858" s="44"/>
      <c r="Y6858" s="44"/>
    </row>
    <row r="6859" spans="14:25" ht="15" customHeight="1" x14ac:dyDescent="0.25">
      <c r="N6859" s="44"/>
      <c r="O6859" s="44"/>
      <c r="P6859" s="44"/>
      <c r="Q6859" s="44"/>
      <c r="R6859" s="44"/>
      <c r="S6859" s="44"/>
      <c r="T6859" s="44"/>
      <c r="U6859" s="44"/>
      <c r="V6859" s="44"/>
      <c r="W6859" s="44"/>
      <c r="X6859" s="44"/>
      <c r="Y6859" s="44"/>
    </row>
    <row r="6860" spans="14:25" ht="15" customHeight="1" x14ac:dyDescent="0.25">
      <c r="N6860" s="44"/>
      <c r="O6860" s="44"/>
      <c r="P6860" s="44"/>
      <c r="Q6860" s="44"/>
      <c r="R6860" s="44"/>
      <c r="S6860" s="44"/>
      <c r="T6860" s="44"/>
      <c r="U6860" s="44"/>
      <c r="V6860" s="44"/>
      <c r="W6860" s="44"/>
      <c r="X6860" s="44"/>
      <c r="Y6860" s="44"/>
    </row>
    <row r="6861" spans="14:25" ht="15" customHeight="1" x14ac:dyDescent="0.25">
      <c r="N6861" s="44"/>
      <c r="O6861" s="44"/>
      <c r="P6861" s="44"/>
      <c r="Q6861" s="44"/>
      <c r="R6861" s="44"/>
      <c r="S6861" s="44"/>
      <c r="T6861" s="44"/>
      <c r="U6861" s="44"/>
      <c r="V6861" s="44"/>
      <c r="W6861" s="44"/>
      <c r="X6861" s="44"/>
      <c r="Y6861" s="44"/>
    </row>
    <row r="6862" spans="14:25" ht="15" customHeight="1" x14ac:dyDescent="0.25">
      <c r="N6862" s="44"/>
      <c r="O6862" s="44"/>
      <c r="P6862" s="44"/>
      <c r="Q6862" s="44"/>
      <c r="R6862" s="44"/>
      <c r="S6862" s="44"/>
      <c r="T6862" s="44"/>
      <c r="U6862" s="44"/>
      <c r="V6862" s="44"/>
      <c r="W6862" s="44"/>
      <c r="X6862" s="44"/>
      <c r="Y6862" s="44"/>
    </row>
    <row r="6863" spans="14:25" ht="15" customHeight="1" x14ac:dyDescent="0.25">
      <c r="N6863" s="44"/>
      <c r="O6863" s="44"/>
      <c r="P6863" s="44"/>
      <c r="Q6863" s="44"/>
      <c r="R6863" s="44"/>
      <c r="S6863" s="44"/>
      <c r="T6863" s="44"/>
      <c r="U6863" s="44"/>
      <c r="V6863" s="44"/>
      <c r="W6863" s="44"/>
      <c r="X6863" s="44"/>
      <c r="Y6863" s="44"/>
    </row>
    <row r="6864" spans="14:25" ht="15" customHeight="1" x14ac:dyDescent="0.25">
      <c r="N6864" s="44"/>
      <c r="O6864" s="44"/>
      <c r="P6864" s="44"/>
      <c r="Q6864" s="44"/>
      <c r="R6864" s="44"/>
      <c r="S6864" s="44"/>
      <c r="T6864" s="44"/>
      <c r="U6864" s="44"/>
      <c r="V6864" s="44"/>
      <c r="W6864" s="44"/>
      <c r="X6864" s="44"/>
      <c r="Y6864" s="44"/>
    </row>
    <row r="6865" spans="14:25" ht="15" customHeight="1" x14ac:dyDescent="0.25">
      <c r="N6865" s="44"/>
      <c r="O6865" s="44"/>
      <c r="P6865" s="44"/>
      <c r="Q6865" s="44"/>
      <c r="R6865" s="44"/>
      <c r="S6865" s="44"/>
      <c r="T6865" s="44"/>
      <c r="U6865" s="44"/>
      <c r="V6865" s="44"/>
      <c r="W6865" s="44"/>
      <c r="X6865" s="44"/>
      <c r="Y6865" s="44"/>
    </row>
    <row r="6866" spans="14:25" ht="15" customHeight="1" x14ac:dyDescent="0.25">
      <c r="N6866" s="44"/>
      <c r="O6866" s="44"/>
      <c r="P6866" s="44"/>
      <c r="Q6866" s="44"/>
      <c r="R6866" s="44"/>
      <c r="S6866" s="44"/>
      <c r="T6866" s="44"/>
      <c r="U6866" s="44"/>
      <c r="V6866" s="44"/>
      <c r="W6866" s="44"/>
      <c r="X6866" s="44"/>
      <c r="Y6866" s="44"/>
    </row>
    <row r="6867" spans="14:25" ht="15" customHeight="1" x14ac:dyDescent="0.25">
      <c r="N6867" s="44"/>
      <c r="O6867" s="44"/>
      <c r="P6867" s="44"/>
      <c r="Q6867" s="44"/>
      <c r="R6867" s="44"/>
      <c r="S6867" s="44"/>
      <c r="T6867" s="44"/>
      <c r="U6867" s="44"/>
      <c r="V6867" s="44"/>
      <c r="W6867" s="44"/>
      <c r="X6867" s="44"/>
      <c r="Y6867" s="44"/>
    </row>
    <row r="6868" spans="14:25" ht="15" customHeight="1" x14ac:dyDescent="0.25">
      <c r="N6868" s="44"/>
      <c r="O6868" s="44"/>
      <c r="P6868" s="44"/>
      <c r="Q6868" s="44"/>
      <c r="R6868" s="44"/>
      <c r="S6868" s="44"/>
      <c r="T6868" s="44"/>
      <c r="U6868" s="44"/>
      <c r="V6868" s="44"/>
      <c r="W6868" s="44"/>
      <c r="X6868" s="44"/>
      <c r="Y6868" s="44"/>
    </row>
    <row r="6869" spans="14:25" ht="15" customHeight="1" x14ac:dyDescent="0.25">
      <c r="N6869" s="44"/>
      <c r="O6869" s="44"/>
      <c r="P6869" s="44"/>
      <c r="Q6869" s="44"/>
      <c r="R6869" s="44"/>
      <c r="S6869" s="44"/>
      <c r="T6869" s="44"/>
      <c r="U6869" s="44"/>
      <c r="V6869" s="44"/>
      <c r="W6869" s="44"/>
      <c r="X6869" s="44"/>
      <c r="Y6869" s="44"/>
    </row>
    <row r="6870" spans="14:25" ht="15" customHeight="1" x14ac:dyDescent="0.25">
      <c r="N6870" s="44"/>
      <c r="O6870" s="44"/>
      <c r="P6870" s="44"/>
      <c r="Q6870" s="44"/>
      <c r="R6870" s="44"/>
      <c r="S6870" s="44"/>
      <c r="T6870" s="44"/>
      <c r="U6870" s="44"/>
      <c r="V6870" s="44"/>
      <c r="W6870" s="44"/>
      <c r="X6870" s="44"/>
      <c r="Y6870" s="44"/>
    </row>
    <row r="6871" spans="14:25" ht="15" customHeight="1" x14ac:dyDescent="0.25">
      <c r="N6871" s="44"/>
      <c r="O6871" s="44"/>
      <c r="P6871" s="44"/>
      <c r="Q6871" s="44"/>
      <c r="R6871" s="44"/>
      <c r="S6871" s="44"/>
      <c r="T6871" s="44"/>
      <c r="U6871" s="44"/>
      <c r="V6871" s="44"/>
      <c r="W6871" s="44"/>
      <c r="X6871" s="44"/>
      <c r="Y6871" s="44"/>
    </row>
    <row r="6872" spans="14:25" ht="15" customHeight="1" x14ac:dyDescent="0.25">
      <c r="N6872" s="44"/>
      <c r="O6872" s="44"/>
      <c r="P6872" s="44"/>
      <c r="Q6872" s="44"/>
      <c r="R6872" s="44"/>
      <c r="S6872" s="44"/>
      <c r="T6872" s="44"/>
      <c r="U6872" s="44"/>
      <c r="V6872" s="44"/>
      <c r="W6872" s="44"/>
      <c r="X6872" s="44"/>
      <c r="Y6872" s="44"/>
    </row>
    <row r="6873" spans="14:25" ht="15" customHeight="1" x14ac:dyDescent="0.25">
      <c r="N6873" s="44"/>
      <c r="O6873" s="44"/>
      <c r="P6873" s="44"/>
      <c r="Q6873" s="44"/>
      <c r="R6873" s="44"/>
      <c r="S6873" s="44"/>
      <c r="T6873" s="44"/>
      <c r="U6873" s="44"/>
      <c r="V6873" s="44"/>
      <c r="W6873" s="44"/>
      <c r="X6873" s="44"/>
      <c r="Y6873" s="44"/>
    </row>
    <row r="6874" spans="14:25" ht="15" customHeight="1" x14ac:dyDescent="0.25">
      <c r="N6874" s="44"/>
      <c r="O6874" s="44"/>
      <c r="P6874" s="44"/>
      <c r="Q6874" s="44"/>
      <c r="R6874" s="44"/>
      <c r="S6874" s="44"/>
      <c r="T6874" s="44"/>
      <c r="U6874" s="44"/>
      <c r="V6874" s="44"/>
      <c r="W6874" s="44"/>
      <c r="X6874" s="44"/>
      <c r="Y6874" s="44"/>
    </row>
    <row r="6875" spans="14:25" ht="15" customHeight="1" x14ac:dyDescent="0.25">
      <c r="N6875" s="44"/>
      <c r="O6875" s="44"/>
      <c r="P6875" s="44"/>
      <c r="Q6875" s="44"/>
      <c r="R6875" s="44"/>
      <c r="S6875" s="44"/>
      <c r="T6875" s="44"/>
      <c r="U6875" s="44"/>
      <c r="V6875" s="44"/>
      <c r="W6875" s="44"/>
      <c r="X6875" s="44"/>
      <c r="Y6875" s="44"/>
    </row>
    <row r="6876" spans="14:25" ht="15" customHeight="1" x14ac:dyDescent="0.25">
      <c r="N6876" s="44"/>
      <c r="O6876" s="44"/>
      <c r="P6876" s="44"/>
      <c r="Q6876" s="44"/>
      <c r="R6876" s="44"/>
      <c r="S6876" s="44"/>
      <c r="T6876" s="44"/>
      <c r="U6876" s="44"/>
      <c r="V6876" s="44"/>
      <c r="W6876" s="44"/>
      <c r="X6876" s="44"/>
      <c r="Y6876" s="44"/>
    </row>
    <row r="6877" spans="14:25" ht="15" customHeight="1" x14ac:dyDescent="0.25">
      <c r="N6877" s="44"/>
      <c r="O6877" s="44"/>
      <c r="P6877" s="44"/>
      <c r="Q6877" s="44"/>
      <c r="R6877" s="44"/>
      <c r="S6877" s="44"/>
      <c r="T6877" s="44"/>
      <c r="U6877" s="44"/>
      <c r="V6877" s="44"/>
      <c r="W6877" s="44"/>
      <c r="X6877" s="44"/>
      <c r="Y6877" s="44"/>
    </row>
    <row r="6878" spans="14:25" ht="15" customHeight="1" x14ac:dyDescent="0.25">
      <c r="N6878" s="44"/>
      <c r="O6878" s="44"/>
      <c r="P6878" s="44"/>
      <c r="Q6878" s="44"/>
      <c r="R6878" s="44"/>
      <c r="S6878" s="44"/>
      <c r="T6878" s="44"/>
      <c r="U6878" s="44"/>
      <c r="V6878" s="44"/>
      <c r="W6878" s="44"/>
      <c r="X6878" s="44"/>
      <c r="Y6878" s="44"/>
    </row>
    <row r="6879" spans="14:25" ht="15" customHeight="1" x14ac:dyDescent="0.25">
      <c r="N6879" s="44"/>
      <c r="O6879" s="44"/>
      <c r="P6879" s="44"/>
      <c r="Q6879" s="44"/>
      <c r="R6879" s="44"/>
      <c r="S6879" s="44"/>
      <c r="T6879" s="44"/>
      <c r="U6879" s="44"/>
      <c r="V6879" s="44"/>
      <c r="W6879" s="44"/>
      <c r="X6879" s="44"/>
      <c r="Y6879" s="44"/>
    </row>
    <row r="6880" spans="14:25" ht="15" customHeight="1" x14ac:dyDescent="0.25">
      <c r="N6880" s="44"/>
      <c r="O6880" s="44"/>
      <c r="P6880" s="44"/>
      <c r="Q6880" s="44"/>
      <c r="R6880" s="44"/>
      <c r="S6880" s="44"/>
      <c r="T6880" s="44"/>
      <c r="U6880" s="44"/>
      <c r="V6880" s="44"/>
      <c r="W6880" s="44"/>
      <c r="X6880" s="44"/>
      <c r="Y6880" s="44"/>
    </row>
    <row r="6881" spans="14:25" ht="15" customHeight="1" x14ac:dyDescent="0.25">
      <c r="N6881" s="44"/>
      <c r="O6881" s="44"/>
      <c r="P6881" s="44"/>
      <c r="Q6881" s="44"/>
      <c r="R6881" s="44"/>
      <c r="S6881" s="44"/>
      <c r="T6881" s="44"/>
      <c r="U6881" s="44"/>
      <c r="V6881" s="44"/>
      <c r="W6881" s="44"/>
      <c r="X6881" s="44"/>
      <c r="Y6881" s="44"/>
    </row>
    <row r="6882" spans="14:25" ht="15" customHeight="1" x14ac:dyDescent="0.25">
      <c r="N6882" s="44"/>
      <c r="O6882" s="44"/>
      <c r="P6882" s="44"/>
      <c r="Q6882" s="44"/>
      <c r="R6882" s="44"/>
      <c r="S6882" s="44"/>
      <c r="T6882" s="44"/>
      <c r="U6882" s="44"/>
      <c r="V6882" s="44"/>
      <c r="W6882" s="44"/>
      <c r="X6882" s="44"/>
      <c r="Y6882" s="44"/>
    </row>
    <row r="6883" spans="14:25" ht="15" customHeight="1" x14ac:dyDescent="0.25">
      <c r="N6883" s="44"/>
      <c r="O6883" s="44"/>
      <c r="P6883" s="44"/>
      <c r="Q6883" s="44"/>
      <c r="R6883" s="44"/>
      <c r="S6883" s="44"/>
      <c r="T6883" s="44"/>
      <c r="U6883" s="44"/>
      <c r="V6883" s="44"/>
      <c r="W6883" s="44"/>
      <c r="X6883" s="44"/>
      <c r="Y6883" s="44"/>
    </row>
    <row r="6884" spans="14:25" ht="15" customHeight="1" x14ac:dyDescent="0.25">
      <c r="N6884" s="44"/>
      <c r="O6884" s="44"/>
      <c r="P6884" s="44"/>
      <c r="Q6884" s="44"/>
      <c r="R6884" s="44"/>
      <c r="S6884" s="44"/>
      <c r="T6884" s="44"/>
      <c r="U6884" s="44"/>
      <c r="V6884" s="44"/>
      <c r="W6884" s="44"/>
      <c r="X6884" s="44"/>
      <c r="Y6884" s="44"/>
    </row>
    <row r="6885" spans="14:25" ht="15" customHeight="1" x14ac:dyDescent="0.25">
      <c r="N6885" s="44"/>
      <c r="O6885" s="44"/>
      <c r="P6885" s="44"/>
      <c r="Q6885" s="44"/>
      <c r="R6885" s="44"/>
      <c r="S6885" s="44"/>
      <c r="T6885" s="44"/>
      <c r="U6885" s="44"/>
      <c r="V6885" s="44"/>
      <c r="W6885" s="44"/>
      <c r="X6885" s="44"/>
      <c r="Y6885" s="44"/>
    </row>
    <row r="6886" spans="14:25" ht="15" customHeight="1" x14ac:dyDescent="0.25">
      <c r="N6886" s="44"/>
      <c r="O6886" s="44"/>
      <c r="P6886" s="44"/>
      <c r="Q6886" s="44"/>
      <c r="R6886" s="44"/>
      <c r="S6886" s="44"/>
      <c r="T6886" s="44"/>
      <c r="U6886" s="44"/>
      <c r="V6886" s="44"/>
      <c r="W6886" s="44"/>
      <c r="X6886" s="44"/>
      <c r="Y6886" s="44"/>
    </row>
    <row r="6887" spans="14:25" ht="15" customHeight="1" x14ac:dyDescent="0.25">
      <c r="N6887" s="44"/>
      <c r="O6887" s="44"/>
      <c r="P6887" s="44"/>
      <c r="Q6887" s="44"/>
      <c r="R6887" s="44"/>
      <c r="S6887" s="44"/>
      <c r="T6887" s="44"/>
      <c r="U6887" s="44"/>
      <c r="V6887" s="44"/>
      <c r="W6887" s="44"/>
      <c r="X6887" s="44"/>
      <c r="Y6887" s="44"/>
    </row>
    <row r="6888" spans="14:25" ht="15" customHeight="1" x14ac:dyDescent="0.25">
      <c r="N6888" s="44"/>
      <c r="O6888" s="44"/>
      <c r="P6888" s="44"/>
      <c r="Q6888" s="44"/>
      <c r="R6888" s="44"/>
      <c r="S6888" s="44"/>
      <c r="T6888" s="44"/>
      <c r="U6888" s="44"/>
      <c r="V6888" s="44"/>
      <c r="W6888" s="44"/>
      <c r="X6888" s="44"/>
      <c r="Y6888" s="44"/>
    </row>
    <row r="6889" spans="14:25" ht="15" customHeight="1" x14ac:dyDescent="0.25">
      <c r="N6889" s="44"/>
      <c r="O6889" s="44"/>
      <c r="P6889" s="44"/>
      <c r="Q6889" s="44"/>
      <c r="R6889" s="44"/>
      <c r="S6889" s="44"/>
      <c r="T6889" s="44"/>
      <c r="U6889" s="44"/>
      <c r="V6889" s="44"/>
      <c r="W6889" s="44"/>
      <c r="X6889" s="44"/>
      <c r="Y6889" s="44"/>
    </row>
    <row r="6890" spans="14:25" ht="15" customHeight="1" x14ac:dyDescent="0.25">
      <c r="N6890" s="44"/>
      <c r="O6890" s="44"/>
      <c r="P6890" s="44"/>
      <c r="Q6890" s="44"/>
      <c r="R6890" s="44"/>
      <c r="S6890" s="44"/>
      <c r="T6890" s="44"/>
      <c r="U6890" s="44"/>
      <c r="V6890" s="44"/>
      <c r="W6890" s="44"/>
      <c r="X6890" s="44"/>
      <c r="Y6890" s="44"/>
    </row>
    <row r="6891" spans="14:25" ht="15" customHeight="1" x14ac:dyDescent="0.25">
      <c r="N6891" s="44"/>
      <c r="O6891" s="44"/>
      <c r="P6891" s="44"/>
      <c r="Q6891" s="44"/>
      <c r="R6891" s="44"/>
      <c r="S6891" s="44"/>
      <c r="T6891" s="44"/>
      <c r="U6891" s="44"/>
      <c r="V6891" s="44"/>
      <c r="W6891" s="44"/>
      <c r="X6891" s="44"/>
      <c r="Y6891" s="44"/>
    </row>
    <row r="6892" spans="14:25" ht="15" customHeight="1" x14ac:dyDescent="0.25">
      <c r="N6892" s="44"/>
      <c r="O6892" s="44"/>
      <c r="P6892" s="44"/>
      <c r="Q6892" s="44"/>
      <c r="R6892" s="44"/>
      <c r="S6892" s="44"/>
      <c r="T6892" s="44"/>
      <c r="U6892" s="44"/>
      <c r="V6892" s="44"/>
      <c r="W6892" s="44"/>
      <c r="X6892" s="44"/>
      <c r="Y6892" s="44"/>
    </row>
    <row r="6893" spans="14:25" ht="15" customHeight="1" x14ac:dyDescent="0.25">
      <c r="N6893" s="44"/>
      <c r="O6893" s="44"/>
      <c r="P6893" s="44"/>
      <c r="Q6893" s="44"/>
      <c r="R6893" s="44"/>
      <c r="S6893" s="44"/>
      <c r="T6893" s="44"/>
      <c r="U6893" s="44"/>
      <c r="V6893" s="44"/>
      <c r="W6893" s="44"/>
      <c r="X6893" s="44"/>
      <c r="Y6893" s="44"/>
    </row>
    <row r="6894" spans="14:25" ht="15" customHeight="1" x14ac:dyDescent="0.25">
      <c r="N6894" s="44"/>
      <c r="O6894" s="44"/>
      <c r="P6894" s="44"/>
      <c r="Q6894" s="44"/>
      <c r="R6894" s="44"/>
      <c r="S6894" s="44"/>
      <c r="T6894" s="44"/>
      <c r="U6894" s="44"/>
      <c r="V6894" s="44"/>
      <c r="W6894" s="44"/>
      <c r="X6894" s="44"/>
      <c r="Y6894" s="44"/>
    </row>
    <row r="6895" spans="14:25" ht="15" customHeight="1" x14ac:dyDescent="0.25">
      <c r="N6895" s="44"/>
      <c r="O6895" s="44"/>
      <c r="P6895" s="44"/>
      <c r="Q6895" s="44"/>
      <c r="R6895" s="44"/>
      <c r="S6895" s="44"/>
      <c r="T6895" s="44"/>
      <c r="U6895" s="44"/>
      <c r="V6895" s="44"/>
      <c r="W6895" s="44"/>
      <c r="X6895" s="44"/>
      <c r="Y6895" s="44"/>
    </row>
    <row r="6896" spans="14:25" ht="15" customHeight="1" x14ac:dyDescent="0.25">
      <c r="N6896" s="44"/>
      <c r="O6896" s="44"/>
      <c r="P6896" s="44"/>
      <c r="Q6896" s="44"/>
      <c r="R6896" s="44"/>
      <c r="S6896" s="44"/>
      <c r="T6896" s="44"/>
      <c r="U6896" s="44"/>
      <c r="V6896" s="44"/>
      <c r="W6896" s="44"/>
      <c r="X6896" s="44"/>
      <c r="Y6896" s="44"/>
    </row>
    <row r="6897" spans="14:25" ht="15" customHeight="1" x14ac:dyDescent="0.25">
      <c r="N6897" s="44"/>
      <c r="O6897" s="44"/>
      <c r="P6897" s="44"/>
      <c r="Q6897" s="44"/>
      <c r="R6897" s="44"/>
      <c r="S6897" s="44"/>
      <c r="T6897" s="44"/>
      <c r="U6897" s="44"/>
      <c r="V6897" s="44"/>
      <c r="W6897" s="44"/>
      <c r="X6897" s="44"/>
      <c r="Y6897" s="44"/>
    </row>
    <row r="6898" spans="14:25" ht="15" customHeight="1" x14ac:dyDescent="0.25">
      <c r="N6898" s="44"/>
      <c r="O6898" s="44"/>
      <c r="P6898" s="44"/>
      <c r="Q6898" s="44"/>
      <c r="R6898" s="44"/>
      <c r="S6898" s="44"/>
      <c r="T6898" s="44"/>
      <c r="U6898" s="44"/>
      <c r="V6898" s="44"/>
      <c r="W6898" s="44"/>
      <c r="X6898" s="44"/>
      <c r="Y6898" s="44"/>
    </row>
    <row r="6899" spans="14:25" ht="15" customHeight="1" x14ac:dyDescent="0.25">
      <c r="N6899" s="44"/>
      <c r="O6899" s="44"/>
      <c r="P6899" s="44"/>
      <c r="Q6899" s="44"/>
      <c r="R6899" s="44"/>
      <c r="S6899" s="44"/>
      <c r="T6899" s="44"/>
      <c r="U6899" s="44"/>
      <c r="V6899" s="44"/>
      <c r="W6899" s="44"/>
      <c r="X6899" s="44"/>
      <c r="Y6899" s="44"/>
    </row>
    <row r="6900" spans="14:25" ht="15" customHeight="1" x14ac:dyDescent="0.25">
      <c r="N6900" s="44"/>
      <c r="O6900" s="44"/>
      <c r="P6900" s="44"/>
      <c r="Q6900" s="44"/>
      <c r="R6900" s="44"/>
      <c r="S6900" s="44"/>
      <c r="T6900" s="44"/>
      <c r="U6900" s="44"/>
      <c r="V6900" s="44"/>
      <c r="W6900" s="44"/>
      <c r="X6900" s="44"/>
      <c r="Y6900" s="44"/>
    </row>
    <row r="6901" spans="14:25" ht="15" customHeight="1" x14ac:dyDescent="0.25">
      <c r="N6901" s="44"/>
      <c r="O6901" s="44"/>
      <c r="P6901" s="44"/>
      <c r="Q6901" s="44"/>
      <c r="R6901" s="44"/>
      <c r="S6901" s="44"/>
      <c r="T6901" s="44"/>
      <c r="U6901" s="44"/>
      <c r="V6901" s="44"/>
      <c r="W6901" s="44"/>
      <c r="X6901" s="44"/>
      <c r="Y6901" s="44"/>
    </row>
    <row r="6902" spans="14:25" ht="15" customHeight="1" x14ac:dyDescent="0.25">
      <c r="N6902" s="44"/>
      <c r="O6902" s="44"/>
      <c r="P6902" s="44"/>
      <c r="Q6902" s="44"/>
      <c r="R6902" s="44"/>
      <c r="S6902" s="44"/>
      <c r="T6902" s="44"/>
      <c r="U6902" s="44"/>
      <c r="V6902" s="44"/>
      <c r="W6902" s="44"/>
      <c r="X6902" s="44"/>
      <c r="Y6902" s="44"/>
    </row>
    <row r="6903" spans="14:25" ht="15" customHeight="1" x14ac:dyDescent="0.25">
      <c r="N6903" s="44"/>
      <c r="O6903" s="44"/>
      <c r="P6903" s="44"/>
      <c r="Q6903" s="44"/>
      <c r="R6903" s="44"/>
      <c r="S6903" s="44"/>
      <c r="T6903" s="44"/>
      <c r="U6903" s="44"/>
      <c r="V6903" s="44"/>
      <c r="W6903" s="44"/>
      <c r="X6903" s="44"/>
      <c r="Y6903" s="44"/>
    </row>
    <row r="6904" spans="14:25" ht="15" customHeight="1" x14ac:dyDescent="0.25">
      <c r="N6904" s="44"/>
      <c r="O6904" s="44"/>
      <c r="P6904" s="44"/>
      <c r="Q6904" s="44"/>
      <c r="R6904" s="44"/>
      <c r="S6904" s="44"/>
      <c r="T6904" s="44"/>
      <c r="U6904" s="44"/>
      <c r="V6904" s="44"/>
      <c r="W6904" s="44"/>
      <c r="X6904" s="44"/>
      <c r="Y6904" s="44"/>
    </row>
    <row r="6905" spans="14:25" ht="15" customHeight="1" x14ac:dyDescent="0.25">
      <c r="N6905" s="44"/>
      <c r="O6905" s="44"/>
      <c r="P6905" s="44"/>
      <c r="Q6905" s="44"/>
      <c r="R6905" s="44"/>
      <c r="S6905" s="44"/>
      <c r="T6905" s="44"/>
      <c r="U6905" s="44"/>
      <c r="V6905" s="44"/>
      <c r="W6905" s="44"/>
      <c r="X6905" s="44"/>
      <c r="Y6905" s="44"/>
    </row>
    <row r="6906" spans="14:25" ht="15" customHeight="1" x14ac:dyDescent="0.25">
      <c r="N6906" s="44"/>
      <c r="O6906" s="44"/>
      <c r="P6906" s="44"/>
      <c r="Q6906" s="44"/>
      <c r="R6906" s="44"/>
      <c r="S6906" s="44"/>
      <c r="T6906" s="44"/>
      <c r="U6906" s="44"/>
      <c r="V6906" s="44"/>
      <c r="W6906" s="44"/>
      <c r="X6906" s="44"/>
      <c r="Y6906" s="44"/>
    </row>
    <row r="6907" spans="14:25" ht="15" customHeight="1" x14ac:dyDescent="0.25">
      <c r="N6907" s="44"/>
      <c r="O6907" s="44"/>
      <c r="P6907" s="44"/>
      <c r="Q6907" s="44"/>
      <c r="R6907" s="44"/>
      <c r="S6907" s="44"/>
      <c r="T6907" s="44"/>
      <c r="U6907" s="44"/>
      <c r="V6907" s="44"/>
      <c r="W6907" s="44"/>
      <c r="X6907" s="44"/>
      <c r="Y6907" s="44"/>
    </row>
    <row r="6908" spans="14:25" ht="15" customHeight="1" x14ac:dyDescent="0.25">
      <c r="N6908" s="44"/>
      <c r="O6908" s="44"/>
      <c r="P6908" s="44"/>
      <c r="Q6908" s="44"/>
      <c r="R6908" s="44"/>
      <c r="S6908" s="44"/>
      <c r="T6908" s="44"/>
      <c r="U6908" s="44"/>
      <c r="V6908" s="44"/>
      <c r="W6908" s="44"/>
      <c r="X6908" s="44"/>
      <c r="Y6908" s="44"/>
    </row>
    <row r="6909" spans="14:25" ht="15" customHeight="1" x14ac:dyDescent="0.25">
      <c r="N6909" s="44"/>
      <c r="O6909" s="44"/>
      <c r="P6909" s="44"/>
      <c r="Q6909" s="44"/>
      <c r="R6909" s="44"/>
      <c r="S6909" s="44"/>
      <c r="T6909" s="44"/>
      <c r="U6909" s="44"/>
      <c r="V6909" s="44"/>
      <c r="W6909" s="44"/>
      <c r="X6909" s="44"/>
      <c r="Y6909" s="44"/>
    </row>
    <row r="6910" spans="14:25" ht="15" customHeight="1" x14ac:dyDescent="0.25">
      <c r="N6910" s="44"/>
      <c r="O6910" s="44"/>
      <c r="P6910" s="44"/>
      <c r="Q6910" s="44"/>
      <c r="R6910" s="44"/>
      <c r="S6910" s="44"/>
      <c r="T6910" s="44"/>
      <c r="U6910" s="44"/>
      <c r="V6910" s="44"/>
      <c r="W6910" s="44"/>
      <c r="X6910" s="44"/>
      <c r="Y6910" s="44"/>
    </row>
    <row r="6911" spans="14:25" ht="15" customHeight="1" x14ac:dyDescent="0.25">
      <c r="N6911" s="44"/>
      <c r="O6911" s="44"/>
      <c r="P6911" s="44"/>
      <c r="Q6911" s="44"/>
      <c r="R6911" s="44"/>
      <c r="S6911" s="44"/>
      <c r="T6911" s="44"/>
      <c r="U6911" s="44"/>
      <c r="V6911" s="44"/>
      <c r="W6911" s="44"/>
      <c r="X6911" s="44"/>
      <c r="Y6911" s="44"/>
    </row>
    <row r="6912" spans="14:25" ht="15" customHeight="1" x14ac:dyDescent="0.25">
      <c r="N6912" s="44"/>
      <c r="O6912" s="44"/>
      <c r="P6912" s="44"/>
      <c r="Q6912" s="44"/>
      <c r="R6912" s="44"/>
      <c r="S6912" s="44"/>
      <c r="T6912" s="44"/>
      <c r="U6912" s="44"/>
      <c r="V6912" s="44"/>
      <c r="W6912" s="44"/>
      <c r="X6912" s="44"/>
      <c r="Y6912" s="44"/>
    </row>
    <row r="6913" spans="14:25" ht="15" customHeight="1" x14ac:dyDescent="0.25">
      <c r="N6913" s="44"/>
      <c r="O6913" s="44"/>
      <c r="P6913" s="44"/>
      <c r="Q6913" s="44"/>
      <c r="R6913" s="44"/>
      <c r="S6913" s="44"/>
      <c r="T6913" s="44"/>
      <c r="U6913" s="44"/>
      <c r="V6913" s="44"/>
      <c r="W6913" s="44"/>
      <c r="X6913" s="44"/>
      <c r="Y6913" s="44"/>
    </row>
    <row r="6914" spans="14:25" ht="15" customHeight="1" x14ac:dyDescent="0.25">
      <c r="N6914" s="44"/>
      <c r="O6914" s="44"/>
      <c r="P6914" s="44"/>
      <c r="Q6914" s="44"/>
      <c r="R6914" s="44"/>
      <c r="S6914" s="44"/>
      <c r="T6914" s="44"/>
      <c r="U6914" s="44"/>
      <c r="V6914" s="44"/>
      <c r="W6914" s="44"/>
      <c r="X6914" s="44"/>
      <c r="Y6914" s="44"/>
    </row>
    <row r="6915" spans="14:25" ht="15" customHeight="1" x14ac:dyDescent="0.25">
      <c r="N6915" s="44"/>
      <c r="O6915" s="44"/>
      <c r="P6915" s="44"/>
      <c r="Q6915" s="44"/>
      <c r="R6915" s="44"/>
      <c r="S6915" s="44"/>
      <c r="T6915" s="44"/>
      <c r="U6915" s="44"/>
      <c r="V6915" s="44"/>
      <c r="W6915" s="44"/>
      <c r="X6915" s="44"/>
      <c r="Y6915" s="44"/>
    </row>
    <row r="6916" spans="14:25" ht="15" customHeight="1" x14ac:dyDescent="0.25">
      <c r="N6916" s="44"/>
      <c r="O6916" s="44"/>
      <c r="P6916" s="44"/>
      <c r="Q6916" s="44"/>
      <c r="R6916" s="44"/>
      <c r="S6916" s="44"/>
      <c r="T6916" s="44"/>
      <c r="U6916" s="44"/>
      <c r="V6916" s="44"/>
      <c r="W6916" s="44"/>
      <c r="X6916" s="44"/>
      <c r="Y6916" s="44"/>
    </row>
    <row r="6917" spans="14:25" ht="15" customHeight="1" x14ac:dyDescent="0.25">
      <c r="N6917" s="44"/>
      <c r="O6917" s="44"/>
      <c r="P6917" s="44"/>
      <c r="Q6917" s="44"/>
      <c r="R6917" s="44"/>
      <c r="S6917" s="44"/>
      <c r="T6917" s="44"/>
      <c r="U6917" s="44"/>
      <c r="V6917" s="44"/>
      <c r="W6917" s="44"/>
      <c r="X6917" s="44"/>
      <c r="Y6917" s="44"/>
    </row>
    <row r="6918" spans="14:25" ht="15" customHeight="1" x14ac:dyDescent="0.25">
      <c r="N6918" s="44"/>
      <c r="O6918" s="44"/>
      <c r="P6918" s="44"/>
      <c r="Q6918" s="44"/>
      <c r="R6918" s="44"/>
      <c r="S6918" s="44"/>
      <c r="T6918" s="44"/>
      <c r="U6918" s="44"/>
      <c r="V6918" s="44"/>
      <c r="W6918" s="44"/>
      <c r="X6918" s="44"/>
      <c r="Y6918" s="44"/>
    </row>
    <row r="6919" spans="14:25" ht="15" customHeight="1" x14ac:dyDescent="0.25">
      <c r="N6919" s="44"/>
      <c r="O6919" s="44"/>
      <c r="P6919" s="44"/>
      <c r="Q6919" s="44"/>
      <c r="R6919" s="44"/>
      <c r="S6919" s="44"/>
      <c r="T6919" s="44"/>
      <c r="U6919" s="44"/>
      <c r="V6919" s="44"/>
      <c r="W6919" s="44"/>
      <c r="X6919" s="44"/>
      <c r="Y6919" s="44"/>
    </row>
    <row r="6920" spans="14:25" ht="15" customHeight="1" x14ac:dyDescent="0.25">
      <c r="N6920" s="44"/>
      <c r="O6920" s="44"/>
      <c r="P6920" s="44"/>
      <c r="Q6920" s="44"/>
      <c r="R6920" s="44"/>
      <c r="S6920" s="44"/>
      <c r="T6920" s="44"/>
      <c r="U6920" s="44"/>
      <c r="V6920" s="44"/>
      <c r="W6920" s="44"/>
      <c r="X6920" s="44"/>
      <c r="Y6920" s="44"/>
    </row>
    <row r="6921" spans="14:25" ht="15" customHeight="1" x14ac:dyDescent="0.25">
      <c r="N6921" s="44"/>
      <c r="O6921" s="44"/>
      <c r="P6921" s="44"/>
      <c r="Q6921" s="44"/>
      <c r="R6921" s="44"/>
      <c r="S6921" s="44"/>
      <c r="T6921" s="44"/>
      <c r="U6921" s="44"/>
      <c r="V6921" s="44"/>
      <c r="W6921" s="44"/>
      <c r="X6921" s="44"/>
      <c r="Y6921" s="44"/>
    </row>
    <row r="6922" spans="14:25" ht="15" customHeight="1" x14ac:dyDescent="0.25">
      <c r="N6922" s="44"/>
      <c r="O6922" s="44"/>
      <c r="P6922" s="44"/>
      <c r="Q6922" s="44"/>
      <c r="R6922" s="44"/>
      <c r="S6922" s="44"/>
      <c r="T6922" s="44"/>
      <c r="U6922" s="44"/>
      <c r="V6922" s="44"/>
      <c r="W6922" s="44"/>
      <c r="X6922" s="44"/>
      <c r="Y6922" s="44"/>
    </row>
    <row r="6923" spans="14:25" ht="15" customHeight="1" x14ac:dyDescent="0.25">
      <c r="N6923" s="44"/>
      <c r="O6923" s="44"/>
      <c r="P6923" s="44"/>
      <c r="Q6923" s="44"/>
      <c r="R6923" s="44"/>
      <c r="S6923" s="44"/>
      <c r="T6923" s="44"/>
      <c r="U6923" s="44"/>
      <c r="V6923" s="44"/>
      <c r="W6923" s="44"/>
      <c r="X6923" s="44"/>
      <c r="Y6923" s="44"/>
    </row>
    <row r="6924" spans="14:25" ht="15" customHeight="1" x14ac:dyDescent="0.25">
      <c r="N6924" s="44"/>
      <c r="O6924" s="44"/>
      <c r="P6924" s="44"/>
      <c r="Q6924" s="44"/>
      <c r="R6924" s="44"/>
      <c r="S6924" s="44"/>
      <c r="T6924" s="44"/>
      <c r="U6924" s="44"/>
      <c r="V6924" s="44"/>
      <c r="W6924" s="44"/>
      <c r="X6924" s="44"/>
      <c r="Y6924" s="44"/>
    </row>
    <row r="6925" spans="14:25" ht="15" customHeight="1" x14ac:dyDescent="0.25">
      <c r="N6925" s="44"/>
      <c r="O6925" s="44"/>
      <c r="P6925" s="44"/>
      <c r="Q6925" s="44"/>
      <c r="R6925" s="44"/>
      <c r="S6925" s="44"/>
      <c r="T6925" s="44"/>
      <c r="U6925" s="44"/>
      <c r="V6925" s="44"/>
      <c r="W6925" s="44"/>
      <c r="X6925" s="44"/>
      <c r="Y6925" s="44"/>
    </row>
    <row r="6926" spans="14:25" ht="15" customHeight="1" x14ac:dyDescent="0.25">
      <c r="N6926" s="44"/>
      <c r="O6926" s="44"/>
      <c r="P6926" s="44"/>
      <c r="Q6926" s="44"/>
      <c r="R6926" s="44"/>
      <c r="S6926" s="44"/>
      <c r="T6926" s="44"/>
      <c r="U6926" s="44"/>
      <c r="V6926" s="44"/>
      <c r="W6926" s="44"/>
      <c r="X6926" s="44"/>
      <c r="Y6926" s="44"/>
    </row>
    <row r="6927" spans="14:25" ht="15" customHeight="1" x14ac:dyDescent="0.25">
      <c r="N6927" s="44"/>
      <c r="O6927" s="44"/>
      <c r="P6927" s="44"/>
      <c r="Q6927" s="44"/>
      <c r="R6927" s="44"/>
      <c r="S6927" s="44"/>
      <c r="T6927" s="44"/>
      <c r="U6927" s="44"/>
      <c r="V6927" s="44"/>
      <c r="W6927" s="44"/>
      <c r="X6927" s="44"/>
      <c r="Y6927" s="44"/>
    </row>
    <row r="6928" spans="14:25" ht="15" customHeight="1" x14ac:dyDescent="0.25">
      <c r="N6928" s="44"/>
      <c r="O6928" s="44"/>
      <c r="P6928" s="44"/>
      <c r="Q6928" s="44"/>
      <c r="R6928" s="44"/>
      <c r="S6928" s="44"/>
      <c r="T6928" s="44"/>
      <c r="U6928" s="44"/>
      <c r="V6928" s="44"/>
      <c r="W6928" s="44"/>
      <c r="X6928" s="44"/>
      <c r="Y6928" s="44"/>
    </row>
    <row r="6929" spans="14:25" ht="15" customHeight="1" x14ac:dyDescent="0.25">
      <c r="N6929" s="44"/>
      <c r="O6929" s="44"/>
      <c r="P6929" s="44"/>
      <c r="Q6929" s="44"/>
      <c r="R6929" s="44"/>
      <c r="S6929" s="44"/>
      <c r="T6929" s="44"/>
      <c r="U6929" s="44"/>
      <c r="V6929" s="44"/>
      <c r="W6929" s="44"/>
      <c r="X6929" s="44"/>
      <c r="Y6929" s="44"/>
    </row>
    <row r="6930" spans="14:25" ht="15" customHeight="1" x14ac:dyDescent="0.25">
      <c r="N6930" s="44"/>
      <c r="O6930" s="44"/>
      <c r="P6930" s="44"/>
      <c r="Q6930" s="44"/>
      <c r="R6930" s="44"/>
      <c r="S6930" s="44"/>
      <c r="T6930" s="44"/>
      <c r="U6930" s="44"/>
      <c r="V6930" s="44"/>
      <c r="W6930" s="44"/>
      <c r="X6930" s="44"/>
      <c r="Y6930" s="44"/>
    </row>
    <row r="6931" spans="14:25" ht="15" customHeight="1" x14ac:dyDescent="0.25">
      <c r="N6931" s="44"/>
      <c r="O6931" s="44"/>
      <c r="P6931" s="44"/>
      <c r="Q6931" s="44"/>
      <c r="R6931" s="44"/>
      <c r="S6931" s="44"/>
      <c r="T6931" s="44"/>
      <c r="U6931" s="44"/>
      <c r="V6931" s="44"/>
      <c r="W6931" s="44"/>
      <c r="X6931" s="44"/>
      <c r="Y6931" s="44"/>
    </row>
    <row r="6932" spans="14:25" ht="15" customHeight="1" x14ac:dyDescent="0.25">
      <c r="N6932" s="44"/>
      <c r="O6932" s="44"/>
      <c r="P6932" s="44"/>
      <c r="Q6932" s="44"/>
      <c r="R6932" s="44"/>
      <c r="S6932" s="44"/>
      <c r="T6932" s="44"/>
      <c r="U6932" s="44"/>
      <c r="V6932" s="44"/>
      <c r="W6932" s="44"/>
      <c r="X6932" s="44"/>
      <c r="Y6932" s="44"/>
    </row>
    <row r="6933" spans="14:25" ht="15" customHeight="1" x14ac:dyDescent="0.25">
      <c r="N6933" s="44"/>
      <c r="O6933" s="44"/>
      <c r="P6933" s="44"/>
      <c r="Q6933" s="44"/>
      <c r="R6933" s="44"/>
      <c r="S6933" s="44"/>
      <c r="T6933" s="44"/>
      <c r="U6933" s="44"/>
      <c r="V6933" s="44"/>
      <c r="W6933" s="44"/>
      <c r="X6933" s="44"/>
      <c r="Y6933" s="44"/>
    </row>
    <row r="6934" spans="14:25" ht="15" customHeight="1" x14ac:dyDescent="0.25">
      <c r="N6934" s="44"/>
      <c r="O6934" s="44"/>
      <c r="P6934" s="44"/>
      <c r="Q6934" s="44"/>
      <c r="R6934" s="44"/>
      <c r="S6934" s="44"/>
      <c r="T6934" s="44"/>
      <c r="U6934" s="44"/>
      <c r="V6934" s="44"/>
      <c r="W6934" s="44"/>
      <c r="X6934" s="44"/>
      <c r="Y6934" s="44"/>
    </row>
    <row r="6935" spans="14:25" ht="15" customHeight="1" x14ac:dyDescent="0.25">
      <c r="N6935" s="44"/>
      <c r="O6935" s="44"/>
      <c r="P6935" s="44"/>
      <c r="Q6935" s="44"/>
      <c r="R6935" s="44"/>
      <c r="S6935" s="44"/>
      <c r="T6935" s="44"/>
      <c r="U6935" s="44"/>
      <c r="V6935" s="44"/>
      <c r="W6935" s="44"/>
      <c r="X6935" s="44"/>
      <c r="Y6935" s="44"/>
    </row>
    <row r="6936" spans="14:25" ht="15" customHeight="1" x14ac:dyDescent="0.25">
      <c r="N6936" s="44"/>
      <c r="O6936" s="44"/>
      <c r="P6936" s="44"/>
      <c r="Q6936" s="44"/>
      <c r="R6936" s="44"/>
      <c r="S6936" s="44"/>
      <c r="T6936" s="44"/>
      <c r="U6936" s="44"/>
      <c r="V6936" s="44"/>
      <c r="W6936" s="44"/>
      <c r="X6936" s="44"/>
      <c r="Y6936" s="44"/>
    </row>
    <row r="6937" spans="14:25" ht="15" customHeight="1" x14ac:dyDescent="0.25">
      <c r="N6937" s="44"/>
      <c r="O6937" s="44"/>
      <c r="P6937" s="44"/>
      <c r="Q6937" s="44"/>
      <c r="R6937" s="44"/>
      <c r="S6937" s="44"/>
      <c r="T6937" s="44"/>
      <c r="U6937" s="44"/>
      <c r="V6937" s="44"/>
      <c r="W6937" s="44"/>
      <c r="X6937" s="44"/>
      <c r="Y6937" s="44"/>
    </row>
    <row r="6938" spans="14:25" ht="15" customHeight="1" x14ac:dyDescent="0.25">
      <c r="N6938" s="44"/>
      <c r="O6938" s="44"/>
      <c r="P6938" s="44"/>
      <c r="Q6938" s="44"/>
      <c r="R6938" s="44"/>
      <c r="S6938" s="44"/>
      <c r="T6938" s="44"/>
      <c r="U6938" s="44"/>
      <c r="V6938" s="44"/>
      <c r="W6938" s="44"/>
      <c r="X6938" s="44"/>
      <c r="Y6938" s="44"/>
    </row>
    <row r="6939" spans="14:25" ht="15" customHeight="1" x14ac:dyDescent="0.25">
      <c r="N6939" s="44"/>
      <c r="O6939" s="44"/>
      <c r="P6939" s="44"/>
      <c r="Q6939" s="44"/>
      <c r="R6939" s="44"/>
      <c r="S6939" s="44"/>
      <c r="T6939" s="44"/>
      <c r="U6939" s="44"/>
      <c r="V6939" s="44"/>
      <c r="W6939" s="44"/>
      <c r="X6939" s="44"/>
      <c r="Y6939" s="44"/>
    </row>
    <row r="6940" spans="14:25" ht="15" customHeight="1" x14ac:dyDescent="0.25">
      <c r="N6940" s="44"/>
      <c r="O6940" s="44"/>
      <c r="P6940" s="44"/>
      <c r="Q6940" s="44"/>
      <c r="R6940" s="44"/>
      <c r="S6940" s="44"/>
      <c r="T6940" s="44"/>
      <c r="U6940" s="44"/>
      <c r="V6940" s="44"/>
      <c r="W6940" s="44"/>
      <c r="X6940" s="44"/>
      <c r="Y6940" s="44"/>
    </row>
    <row r="6941" spans="14:25" ht="15" customHeight="1" x14ac:dyDescent="0.25">
      <c r="N6941" s="44"/>
      <c r="O6941" s="44"/>
      <c r="P6941" s="44"/>
      <c r="Q6941" s="44"/>
      <c r="R6941" s="44"/>
      <c r="S6941" s="44"/>
      <c r="T6941" s="44"/>
      <c r="U6941" s="44"/>
      <c r="V6941" s="44"/>
      <c r="W6941" s="44"/>
      <c r="X6941" s="44"/>
      <c r="Y6941" s="44"/>
    </row>
    <row r="6942" spans="14:25" ht="15" customHeight="1" x14ac:dyDescent="0.25">
      <c r="N6942" s="44"/>
      <c r="O6942" s="44"/>
      <c r="P6942" s="44"/>
      <c r="Q6942" s="44"/>
      <c r="R6942" s="44"/>
      <c r="S6942" s="44"/>
      <c r="T6942" s="44"/>
      <c r="U6942" s="44"/>
      <c r="V6942" s="44"/>
      <c r="W6942" s="44"/>
      <c r="X6942" s="44"/>
      <c r="Y6942" s="44"/>
    </row>
    <row r="6943" spans="14:25" ht="15" customHeight="1" x14ac:dyDescent="0.25">
      <c r="N6943" s="44"/>
      <c r="O6943" s="44"/>
      <c r="P6943" s="44"/>
      <c r="Q6943" s="44"/>
      <c r="R6943" s="44"/>
      <c r="S6943" s="44"/>
      <c r="T6943" s="44"/>
      <c r="U6943" s="44"/>
      <c r="V6943" s="44"/>
      <c r="W6943" s="44"/>
      <c r="X6943" s="44"/>
      <c r="Y6943" s="44"/>
    </row>
    <row r="6944" spans="14:25" ht="15" customHeight="1" x14ac:dyDescent="0.25">
      <c r="N6944" s="44"/>
      <c r="O6944" s="44"/>
      <c r="P6944" s="44"/>
      <c r="Q6944" s="44"/>
      <c r="R6944" s="44"/>
      <c r="S6944" s="44"/>
      <c r="T6944" s="44"/>
      <c r="U6944" s="44"/>
      <c r="V6944" s="44"/>
      <c r="W6944" s="44"/>
      <c r="X6944" s="44"/>
      <c r="Y6944" s="44"/>
    </row>
    <row r="6945" spans="14:25" ht="15" customHeight="1" x14ac:dyDescent="0.25">
      <c r="N6945" s="44"/>
      <c r="O6945" s="44"/>
      <c r="P6945" s="44"/>
      <c r="Q6945" s="44"/>
      <c r="R6945" s="44"/>
      <c r="S6945" s="44"/>
      <c r="T6945" s="44"/>
      <c r="U6945" s="44"/>
      <c r="V6945" s="44"/>
      <c r="W6945" s="44"/>
      <c r="X6945" s="44"/>
      <c r="Y6945" s="44"/>
    </row>
    <row r="6946" spans="14:25" ht="15" customHeight="1" x14ac:dyDescent="0.25">
      <c r="N6946" s="44"/>
      <c r="O6946" s="44"/>
      <c r="P6946" s="44"/>
      <c r="Q6946" s="44"/>
      <c r="R6946" s="44"/>
      <c r="S6946" s="44"/>
      <c r="T6946" s="44"/>
      <c r="U6946" s="44"/>
      <c r="V6946" s="44"/>
      <c r="W6946" s="44"/>
      <c r="X6946" s="44"/>
      <c r="Y6946" s="44"/>
    </row>
    <row r="6947" spans="14:25" ht="15" customHeight="1" x14ac:dyDescent="0.25">
      <c r="N6947" s="44"/>
      <c r="O6947" s="44"/>
      <c r="P6947" s="44"/>
      <c r="Q6947" s="44"/>
      <c r="R6947" s="44"/>
      <c r="S6947" s="44"/>
      <c r="T6947" s="44"/>
      <c r="U6947" s="44"/>
      <c r="V6947" s="44"/>
      <c r="W6947" s="44"/>
      <c r="X6947" s="44"/>
      <c r="Y6947" s="44"/>
    </row>
    <row r="6948" spans="14:25" ht="15" customHeight="1" x14ac:dyDescent="0.25">
      <c r="N6948" s="44"/>
      <c r="O6948" s="44"/>
      <c r="P6948" s="44"/>
      <c r="Q6948" s="44"/>
      <c r="R6948" s="44"/>
      <c r="S6948" s="44"/>
      <c r="T6948" s="44"/>
      <c r="U6948" s="44"/>
      <c r="V6948" s="44"/>
      <c r="W6948" s="44"/>
      <c r="X6948" s="44"/>
      <c r="Y6948" s="44"/>
    </row>
    <row r="6949" spans="14:25" ht="15" customHeight="1" x14ac:dyDescent="0.25">
      <c r="N6949" s="44"/>
      <c r="O6949" s="44"/>
      <c r="P6949" s="44"/>
      <c r="Q6949" s="44"/>
      <c r="R6949" s="44"/>
      <c r="S6949" s="44"/>
      <c r="T6949" s="44"/>
      <c r="U6949" s="44"/>
      <c r="V6949" s="44"/>
      <c r="W6949" s="44"/>
      <c r="X6949" s="44"/>
      <c r="Y6949" s="44"/>
    </row>
    <row r="6950" spans="14:25" ht="15" customHeight="1" x14ac:dyDescent="0.25">
      <c r="N6950" s="44"/>
      <c r="O6950" s="44"/>
      <c r="P6950" s="44"/>
      <c r="Q6950" s="44"/>
      <c r="R6950" s="44"/>
      <c r="S6950" s="44"/>
      <c r="T6950" s="44"/>
      <c r="U6950" s="44"/>
      <c r="V6950" s="44"/>
      <c r="W6950" s="44"/>
      <c r="X6950" s="44"/>
      <c r="Y6950" s="44"/>
    </row>
    <row r="6951" spans="14:25" ht="15" customHeight="1" x14ac:dyDescent="0.25">
      <c r="N6951" s="44"/>
      <c r="O6951" s="44"/>
      <c r="P6951" s="44"/>
      <c r="Q6951" s="44"/>
      <c r="R6951" s="44"/>
      <c r="S6951" s="44"/>
      <c r="T6951" s="44"/>
      <c r="U6951" s="44"/>
      <c r="V6951" s="44"/>
      <c r="W6951" s="44"/>
      <c r="X6951" s="44"/>
      <c r="Y6951" s="44"/>
    </row>
    <row r="6952" spans="14:25" ht="15" customHeight="1" x14ac:dyDescent="0.25">
      <c r="N6952" s="44"/>
      <c r="O6952" s="44"/>
      <c r="P6952" s="44"/>
      <c r="Q6952" s="44"/>
      <c r="R6952" s="44"/>
      <c r="S6952" s="44"/>
      <c r="T6952" s="44"/>
      <c r="U6952" s="44"/>
      <c r="V6952" s="44"/>
      <c r="W6952" s="44"/>
      <c r="X6952" s="44"/>
      <c r="Y6952" s="44"/>
    </row>
    <row r="6953" spans="14:25" ht="15" customHeight="1" x14ac:dyDescent="0.25">
      <c r="N6953" s="44"/>
      <c r="O6953" s="44"/>
      <c r="P6953" s="44"/>
      <c r="Q6953" s="44"/>
      <c r="R6953" s="44"/>
      <c r="S6953" s="44"/>
      <c r="T6953" s="44"/>
      <c r="U6953" s="44"/>
      <c r="V6953" s="44"/>
      <c r="W6953" s="44"/>
      <c r="X6953" s="44"/>
      <c r="Y6953" s="44"/>
    </row>
    <row r="6954" spans="14:25" ht="15" customHeight="1" x14ac:dyDescent="0.25">
      <c r="N6954" s="44"/>
      <c r="O6954" s="44"/>
      <c r="P6954" s="44"/>
      <c r="Q6954" s="44"/>
      <c r="R6954" s="44"/>
      <c r="S6954" s="44"/>
      <c r="T6954" s="44"/>
      <c r="U6954" s="44"/>
      <c r="V6954" s="44"/>
      <c r="W6954" s="44"/>
      <c r="X6954" s="44"/>
      <c r="Y6954" s="44"/>
    </row>
    <row r="6955" spans="14:25" ht="15" customHeight="1" x14ac:dyDescent="0.25">
      <c r="N6955" s="44"/>
      <c r="O6955" s="44"/>
      <c r="P6955" s="44"/>
      <c r="Q6955" s="44"/>
      <c r="R6955" s="44"/>
      <c r="S6955" s="44"/>
      <c r="T6955" s="44"/>
      <c r="U6955" s="44"/>
      <c r="V6955" s="44"/>
      <c r="W6955" s="44"/>
      <c r="X6955" s="44"/>
      <c r="Y6955" s="44"/>
    </row>
    <row r="6956" spans="14:25" ht="15" customHeight="1" x14ac:dyDescent="0.25">
      <c r="N6956" s="44"/>
      <c r="O6956" s="44"/>
      <c r="P6956" s="44"/>
      <c r="Q6956" s="44"/>
      <c r="R6956" s="44"/>
      <c r="S6956" s="44"/>
      <c r="T6956" s="44"/>
      <c r="U6956" s="44"/>
      <c r="V6956" s="44"/>
      <c r="W6956" s="44"/>
      <c r="X6956" s="44"/>
      <c r="Y6956" s="44"/>
    </row>
    <row r="6957" spans="14:25" ht="15" customHeight="1" x14ac:dyDescent="0.25">
      <c r="N6957" s="44"/>
      <c r="O6957" s="44"/>
      <c r="P6957" s="44"/>
      <c r="Q6957" s="44"/>
      <c r="R6957" s="44"/>
      <c r="S6957" s="44"/>
      <c r="T6957" s="44"/>
      <c r="U6957" s="44"/>
      <c r="V6957" s="44"/>
      <c r="W6957" s="44"/>
      <c r="X6957" s="44"/>
      <c r="Y6957" s="44"/>
    </row>
    <row r="6958" spans="14:25" ht="15" customHeight="1" x14ac:dyDescent="0.25">
      <c r="N6958" s="44"/>
      <c r="O6958" s="44"/>
      <c r="P6958" s="44"/>
      <c r="Q6958" s="44"/>
      <c r="R6958" s="44"/>
      <c r="S6958" s="44"/>
      <c r="T6958" s="44"/>
      <c r="U6958" s="44"/>
      <c r="V6958" s="44"/>
      <c r="W6958" s="44"/>
      <c r="X6958" s="44"/>
      <c r="Y6958" s="44"/>
    </row>
    <row r="6959" spans="14:25" ht="15" customHeight="1" x14ac:dyDescent="0.25">
      <c r="N6959" s="44"/>
      <c r="O6959" s="44"/>
      <c r="P6959" s="44"/>
      <c r="Q6959" s="44"/>
      <c r="R6959" s="44"/>
      <c r="S6959" s="44"/>
      <c r="T6959" s="44"/>
      <c r="U6959" s="44"/>
      <c r="V6959" s="44"/>
      <c r="W6959" s="44"/>
      <c r="X6959" s="44"/>
      <c r="Y6959" s="44"/>
    </row>
    <row r="6960" spans="14:25" ht="15" customHeight="1" x14ac:dyDescent="0.25">
      <c r="N6960" s="44"/>
      <c r="O6960" s="44"/>
      <c r="P6960" s="44"/>
      <c r="Q6960" s="44"/>
      <c r="R6960" s="44"/>
      <c r="S6960" s="44"/>
      <c r="T6960" s="44"/>
      <c r="U6960" s="44"/>
      <c r="V6960" s="44"/>
      <c r="W6960" s="44"/>
      <c r="X6960" s="44"/>
      <c r="Y6960" s="44"/>
    </row>
    <row r="6961" spans="14:25" ht="15" customHeight="1" x14ac:dyDescent="0.25">
      <c r="N6961" s="44"/>
      <c r="O6961" s="44"/>
      <c r="P6961" s="44"/>
      <c r="Q6961" s="44"/>
      <c r="R6961" s="44"/>
      <c r="S6961" s="44"/>
      <c r="T6961" s="44"/>
      <c r="U6961" s="44"/>
      <c r="V6961" s="44"/>
      <c r="W6961" s="44"/>
      <c r="X6961" s="44"/>
      <c r="Y6961" s="44"/>
    </row>
    <row r="6962" spans="14:25" ht="15" customHeight="1" x14ac:dyDescent="0.25">
      <c r="N6962" s="44"/>
      <c r="O6962" s="44"/>
      <c r="P6962" s="44"/>
      <c r="Q6962" s="44"/>
      <c r="R6962" s="44"/>
      <c r="S6962" s="44"/>
      <c r="T6962" s="44"/>
      <c r="U6962" s="44"/>
      <c r="V6962" s="44"/>
      <c r="W6962" s="44"/>
      <c r="X6962" s="44"/>
      <c r="Y6962" s="44"/>
    </row>
    <row r="6963" spans="14:25" ht="15" customHeight="1" x14ac:dyDescent="0.25">
      <c r="N6963" s="44"/>
      <c r="O6963" s="44"/>
      <c r="P6963" s="44"/>
      <c r="Q6963" s="44"/>
      <c r="R6963" s="44"/>
      <c r="S6963" s="44"/>
      <c r="T6963" s="44"/>
      <c r="U6963" s="44"/>
      <c r="V6963" s="44"/>
      <c r="W6963" s="44"/>
      <c r="X6963" s="44"/>
      <c r="Y6963" s="44"/>
    </row>
    <row r="6964" spans="14:25" ht="15" customHeight="1" x14ac:dyDescent="0.25">
      <c r="N6964" s="44"/>
      <c r="O6964" s="44"/>
      <c r="P6964" s="44"/>
      <c r="Q6964" s="44"/>
      <c r="R6964" s="44"/>
      <c r="S6964" s="44"/>
      <c r="T6964" s="44"/>
      <c r="U6964" s="44"/>
      <c r="V6964" s="44"/>
      <c r="W6964" s="44"/>
      <c r="X6964" s="44"/>
      <c r="Y6964" s="44"/>
    </row>
    <row r="6965" spans="14:25" ht="15" customHeight="1" x14ac:dyDescent="0.25">
      <c r="N6965" s="44"/>
      <c r="O6965" s="44"/>
      <c r="P6965" s="44"/>
      <c r="Q6965" s="44"/>
      <c r="R6965" s="44"/>
      <c r="S6965" s="44"/>
      <c r="T6965" s="44"/>
      <c r="U6965" s="44"/>
      <c r="V6965" s="44"/>
      <c r="W6965" s="44"/>
      <c r="X6965" s="44"/>
      <c r="Y6965" s="44"/>
    </row>
    <row r="6966" spans="14:25" ht="15" customHeight="1" x14ac:dyDescent="0.25">
      <c r="N6966" s="44"/>
      <c r="O6966" s="44"/>
      <c r="P6966" s="44"/>
      <c r="Q6966" s="44"/>
      <c r="R6966" s="44"/>
      <c r="S6966" s="44"/>
      <c r="T6966" s="44"/>
      <c r="U6966" s="44"/>
      <c r="V6966" s="44"/>
      <c r="W6966" s="44"/>
      <c r="X6966" s="44"/>
      <c r="Y6966" s="44"/>
    </row>
    <row r="6967" spans="14:25" ht="15" customHeight="1" x14ac:dyDescent="0.25">
      <c r="N6967" s="44"/>
      <c r="O6967" s="44"/>
      <c r="P6967" s="44"/>
      <c r="Q6967" s="44"/>
      <c r="R6967" s="44"/>
      <c r="S6967" s="44"/>
      <c r="T6967" s="44"/>
      <c r="U6967" s="44"/>
      <c r="V6967" s="44"/>
      <c r="W6967" s="44"/>
      <c r="X6967" s="44"/>
      <c r="Y6967" s="44"/>
    </row>
    <row r="6968" spans="14:25" ht="15" customHeight="1" x14ac:dyDescent="0.25">
      <c r="N6968" s="44"/>
      <c r="O6968" s="44"/>
      <c r="P6968" s="44"/>
      <c r="Q6968" s="44"/>
      <c r="R6968" s="44"/>
      <c r="S6968" s="44"/>
      <c r="T6968" s="44"/>
      <c r="U6968" s="44"/>
      <c r="V6968" s="44"/>
      <c r="W6968" s="44"/>
      <c r="X6968" s="44"/>
      <c r="Y6968" s="44"/>
    </row>
    <row r="6969" spans="14:25" ht="15" customHeight="1" x14ac:dyDescent="0.25">
      <c r="N6969" s="44"/>
      <c r="O6969" s="44"/>
      <c r="P6969" s="44"/>
      <c r="Q6969" s="44"/>
      <c r="R6969" s="44"/>
      <c r="S6969" s="44"/>
      <c r="T6969" s="44"/>
      <c r="U6969" s="44"/>
      <c r="V6969" s="44"/>
      <c r="W6969" s="44"/>
      <c r="X6969" s="44"/>
      <c r="Y6969" s="44"/>
    </row>
    <row r="6970" spans="14:25" ht="15" customHeight="1" x14ac:dyDescent="0.25">
      <c r="N6970" s="44"/>
      <c r="O6970" s="44"/>
      <c r="P6970" s="44"/>
      <c r="Q6970" s="44"/>
      <c r="R6970" s="44"/>
      <c r="S6970" s="44"/>
      <c r="T6970" s="44"/>
      <c r="U6970" s="44"/>
      <c r="V6970" s="44"/>
      <c r="W6970" s="44"/>
      <c r="X6970" s="44"/>
      <c r="Y6970" s="44"/>
    </row>
    <row r="6971" spans="14:25" ht="15" customHeight="1" x14ac:dyDescent="0.25">
      <c r="N6971" s="44"/>
      <c r="O6971" s="44"/>
      <c r="P6971" s="44"/>
      <c r="Q6971" s="44"/>
      <c r="R6971" s="44"/>
      <c r="S6971" s="44"/>
      <c r="T6971" s="44"/>
      <c r="U6971" s="44"/>
      <c r="V6971" s="44"/>
      <c r="W6971" s="44"/>
      <c r="X6971" s="44"/>
      <c r="Y6971" s="44"/>
    </row>
    <row r="6972" spans="14:25" ht="15" customHeight="1" x14ac:dyDescent="0.25">
      <c r="N6972" s="44"/>
      <c r="O6972" s="44"/>
      <c r="P6972" s="44"/>
      <c r="Q6972" s="44"/>
      <c r="R6972" s="44"/>
      <c r="S6972" s="44"/>
      <c r="T6972" s="44"/>
      <c r="U6972" s="44"/>
      <c r="V6972" s="44"/>
      <c r="W6972" s="44"/>
      <c r="X6972" s="44"/>
      <c r="Y6972" s="44"/>
    </row>
    <row r="6973" spans="14:25" ht="15" customHeight="1" x14ac:dyDescent="0.25">
      <c r="N6973" s="44"/>
      <c r="O6973" s="44"/>
      <c r="P6973" s="44"/>
      <c r="Q6973" s="44"/>
      <c r="R6973" s="44"/>
      <c r="S6973" s="44"/>
      <c r="T6973" s="44"/>
      <c r="U6973" s="44"/>
      <c r="V6973" s="44"/>
      <c r="W6973" s="44"/>
      <c r="X6973" s="44"/>
      <c r="Y6973" s="44"/>
    </row>
    <row r="6974" spans="14:25" ht="15" customHeight="1" x14ac:dyDescent="0.25">
      <c r="N6974" s="44"/>
      <c r="O6974" s="44"/>
      <c r="P6974" s="44"/>
      <c r="Q6974" s="44"/>
      <c r="R6974" s="44"/>
      <c r="S6974" s="44"/>
      <c r="T6974" s="44"/>
      <c r="U6974" s="44"/>
      <c r="V6974" s="44"/>
      <c r="W6974" s="44"/>
      <c r="X6974" s="44"/>
      <c r="Y6974" s="44"/>
    </row>
    <row r="6975" spans="14:25" ht="15" customHeight="1" x14ac:dyDescent="0.25">
      <c r="N6975" s="44"/>
      <c r="O6975" s="44"/>
      <c r="P6975" s="44"/>
      <c r="Q6975" s="44"/>
      <c r="R6975" s="44"/>
      <c r="S6975" s="44"/>
      <c r="T6975" s="44"/>
      <c r="U6975" s="44"/>
      <c r="V6975" s="44"/>
      <c r="W6975" s="44"/>
      <c r="X6975" s="44"/>
      <c r="Y6975" s="44"/>
    </row>
    <row r="6976" spans="14:25" ht="15" customHeight="1" x14ac:dyDescent="0.25">
      <c r="N6976" s="44"/>
      <c r="O6976" s="44"/>
      <c r="P6976" s="44"/>
      <c r="Q6976" s="44"/>
      <c r="R6976" s="44"/>
      <c r="S6976" s="44"/>
      <c r="T6976" s="44"/>
      <c r="U6976" s="44"/>
      <c r="V6976" s="44"/>
      <c r="W6976" s="44"/>
      <c r="X6976" s="44"/>
      <c r="Y6976" s="44"/>
    </row>
    <row r="6977" spans="14:25" ht="15" customHeight="1" x14ac:dyDescent="0.25">
      <c r="N6977" s="44"/>
      <c r="O6977" s="44"/>
      <c r="P6977" s="44"/>
      <c r="Q6977" s="44"/>
      <c r="R6977" s="44"/>
      <c r="S6977" s="44"/>
      <c r="T6977" s="44"/>
      <c r="U6977" s="44"/>
      <c r="V6977" s="44"/>
      <c r="W6977" s="44"/>
      <c r="X6977" s="44"/>
      <c r="Y6977" s="44"/>
    </row>
    <row r="6978" spans="14:25" ht="15" customHeight="1" x14ac:dyDescent="0.25">
      <c r="N6978" s="44"/>
      <c r="O6978" s="44"/>
      <c r="P6978" s="44"/>
      <c r="Q6978" s="44"/>
      <c r="R6978" s="44"/>
      <c r="S6978" s="44"/>
      <c r="T6978" s="44"/>
      <c r="U6978" s="44"/>
      <c r="V6978" s="44"/>
      <c r="W6978" s="44"/>
      <c r="X6978" s="44"/>
      <c r="Y6978" s="44"/>
    </row>
    <row r="6979" spans="14:25" ht="15" customHeight="1" x14ac:dyDescent="0.25">
      <c r="N6979" s="44"/>
      <c r="O6979" s="44"/>
      <c r="P6979" s="44"/>
      <c r="Q6979" s="44"/>
      <c r="R6979" s="44"/>
      <c r="S6979" s="44"/>
      <c r="T6979" s="44"/>
      <c r="U6979" s="44"/>
      <c r="V6979" s="44"/>
      <c r="W6979" s="44"/>
      <c r="X6979" s="44"/>
      <c r="Y6979" s="44"/>
    </row>
    <row r="6980" spans="14:25" ht="15" customHeight="1" x14ac:dyDescent="0.25">
      <c r="N6980" s="44"/>
      <c r="O6980" s="44"/>
      <c r="P6980" s="44"/>
      <c r="Q6980" s="44"/>
      <c r="R6980" s="44"/>
      <c r="S6980" s="44"/>
      <c r="T6980" s="44"/>
      <c r="U6980" s="44"/>
      <c r="V6980" s="44"/>
      <c r="W6980" s="44"/>
      <c r="X6980" s="44"/>
      <c r="Y6980" s="44"/>
    </row>
    <row r="6981" spans="14:25" ht="15" customHeight="1" x14ac:dyDescent="0.25">
      <c r="N6981" s="44"/>
      <c r="O6981" s="44"/>
      <c r="P6981" s="44"/>
      <c r="Q6981" s="44"/>
      <c r="R6981" s="44"/>
      <c r="S6981" s="44"/>
      <c r="T6981" s="44"/>
      <c r="U6981" s="44"/>
      <c r="V6981" s="44"/>
      <c r="W6981" s="44"/>
      <c r="X6981" s="44"/>
      <c r="Y6981" s="44"/>
    </row>
    <row r="6982" spans="14:25" ht="15" customHeight="1" x14ac:dyDescent="0.25">
      <c r="N6982" s="44"/>
      <c r="O6982" s="44"/>
      <c r="P6982" s="44"/>
      <c r="Q6982" s="44"/>
      <c r="R6982" s="44"/>
      <c r="S6982" s="44"/>
      <c r="T6982" s="44"/>
      <c r="U6982" s="44"/>
      <c r="V6982" s="44"/>
      <c r="W6982" s="44"/>
      <c r="X6982" s="44"/>
      <c r="Y6982" s="44"/>
    </row>
    <row r="6983" spans="14:25" ht="15" customHeight="1" x14ac:dyDescent="0.25">
      <c r="N6983" s="44"/>
      <c r="O6983" s="44"/>
      <c r="P6983" s="44"/>
      <c r="Q6983" s="44"/>
      <c r="R6983" s="44"/>
      <c r="S6983" s="44"/>
      <c r="T6983" s="44"/>
      <c r="U6983" s="44"/>
      <c r="V6983" s="44"/>
      <c r="W6983" s="44"/>
      <c r="X6983" s="44"/>
      <c r="Y6983" s="44"/>
    </row>
    <row r="6984" spans="14:25" ht="15" customHeight="1" x14ac:dyDescent="0.25">
      <c r="N6984" s="44"/>
      <c r="O6984" s="44"/>
      <c r="P6984" s="44"/>
      <c r="Q6984" s="44"/>
      <c r="R6984" s="44"/>
      <c r="S6984" s="44"/>
      <c r="T6984" s="44"/>
      <c r="U6984" s="44"/>
      <c r="V6984" s="44"/>
      <c r="W6984" s="44"/>
      <c r="X6984" s="44"/>
      <c r="Y6984" s="44"/>
    </row>
    <row r="6985" spans="14:25" ht="15" customHeight="1" x14ac:dyDescent="0.25">
      <c r="N6985" s="44"/>
      <c r="O6985" s="44"/>
      <c r="P6985" s="44"/>
      <c r="Q6985" s="44"/>
      <c r="R6985" s="44"/>
      <c r="S6985" s="44"/>
      <c r="T6985" s="44"/>
      <c r="U6985" s="44"/>
      <c r="V6985" s="44"/>
      <c r="W6985" s="44"/>
      <c r="X6985" s="44"/>
      <c r="Y6985" s="44"/>
    </row>
    <row r="6986" spans="14:25" ht="15" customHeight="1" x14ac:dyDescent="0.25">
      <c r="N6986" s="44"/>
      <c r="O6986" s="44"/>
      <c r="P6986" s="44"/>
      <c r="Q6986" s="44"/>
      <c r="R6986" s="44"/>
      <c r="S6986" s="44"/>
      <c r="T6986" s="44"/>
      <c r="U6986" s="44"/>
      <c r="V6986" s="44"/>
      <c r="W6986" s="44"/>
      <c r="X6986" s="44"/>
      <c r="Y6986" s="44"/>
    </row>
    <row r="6987" spans="14:25" ht="15" customHeight="1" x14ac:dyDescent="0.25">
      <c r="N6987" s="44"/>
      <c r="O6987" s="44"/>
      <c r="P6987" s="44"/>
      <c r="Q6987" s="44"/>
      <c r="R6987" s="44"/>
      <c r="S6987" s="44"/>
      <c r="T6987" s="44"/>
      <c r="U6987" s="44"/>
      <c r="V6987" s="44"/>
      <c r="W6987" s="44"/>
      <c r="X6987" s="44"/>
      <c r="Y6987" s="44"/>
    </row>
    <row r="6988" spans="14:25" ht="15" customHeight="1" x14ac:dyDescent="0.25">
      <c r="N6988" s="44"/>
      <c r="O6988" s="44"/>
      <c r="P6988" s="44"/>
      <c r="Q6988" s="44"/>
      <c r="R6988" s="44"/>
      <c r="S6988" s="44"/>
      <c r="T6988" s="44"/>
      <c r="U6988" s="44"/>
      <c r="V6988" s="44"/>
      <c r="W6988" s="44"/>
      <c r="X6988" s="44"/>
      <c r="Y6988" s="44"/>
    </row>
    <row r="6989" spans="14:25" ht="15" customHeight="1" x14ac:dyDescent="0.25">
      <c r="N6989" s="44"/>
      <c r="O6989" s="44"/>
      <c r="P6989" s="44"/>
      <c r="Q6989" s="44"/>
      <c r="R6989" s="44"/>
      <c r="S6989" s="44"/>
      <c r="T6989" s="44"/>
      <c r="U6989" s="44"/>
      <c r="V6989" s="44"/>
      <c r="W6989" s="44"/>
      <c r="X6989" s="44"/>
      <c r="Y6989" s="44"/>
    </row>
    <row r="6990" spans="14:25" ht="15" customHeight="1" x14ac:dyDescent="0.25">
      <c r="N6990" s="44"/>
      <c r="O6990" s="44"/>
      <c r="P6990" s="44"/>
      <c r="Q6990" s="44"/>
      <c r="R6990" s="44"/>
      <c r="S6990" s="44"/>
      <c r="T6990" s="44"/>
      <c r="U6990" s="44"/>
      <c r="V6990" s="44"/>
      <c r="W6990" s="44"/>
      <c r="X6990" s="44"/>
      <c r="Y6990" s="44"/>
    </row>
    <row r="6991" spans="14:25" ht="15" customHeight="1" x14ac:dyDescent="0.25">
      <c r="N6991" s="44"/>
      <c r="O6991" s="44"/>
      <c r="P6991" s="44"/>
      <c r="Q6991" s="44"/>
      <c r="R6991" s="44"/>
      <c r="S6991" s="44"/>
      <c r="T6991" s="44"/>
      <c r="U6991" s="44"/>
      <c r="V6991" s="44"/>
      <c r="W6991" s="44"/>
      <c r="X6991" s="44"/>
      <c r="Y6991" s="44"/>
    </row>
    <row r="6992" spans="14:25" ht="15" customHeight="1" x14ac:dyDescent="0.25">
      <c r="N6992" s="44"/>
      <c r="O6992" s="44"/>
      <c r="P6992" s="44"/>
      <c r="Q6992" s="44"/>
      <c r="R6992" s="44"/>
      <c r="S6992" s="44"/>
      <c r="T6992" s="44"/>
      <c r="U6992" s="44"/>
      <c r="V6992" s="44"/>
      <c r="W6992" s="44"/>
      <c r="X6992" s="44"/>
      <c r="Y6992" s="44"/>
    </row>
    <row r="6993" spans="14:25" ht="15" customHeight="1" x14ac:dyDescent="0.25">
      <c r="N6993" s="44"/>
      <c r="O6993" s="44"/>
      <c r="P6993" s="44"/>
      <c r="Q6993" s="44"/>
      <c r="R6993" s="44"/>
      <c r="S6993" s="44"/>
      <c r="T6993" s="44"/>
      <c r="U6993" s="44"/>
      <c r="V6993" s="44"/>
      <c r="W6993" s="44"/>
      <c r="X6993" s="44"/>
      <c r="Y6993" s="44"/>
    </row>
    <row r="6994" spans="14:25" ht="15" customHeight="1" x14ac:dyDescent="0.25">
      <c r="N6994" s="44"/>
      <c r="O6994" s="44"/>
      <c r="P6994" s="44"/>
      <c r="Q6994" s="44"/>
      <c r="R6994" s="44"/>
      <c r="S6994" s="44"/>
      <c r="T6994" s="44"/>
      <c r="U6994" s="44"/>
      <c r="V6994" s="44"/>
      <c r="W6994" s="44"/>
      <c r="X6994" s="44"/>
      <c r="Y6994" s="44"/>
    </row>
    <row r="6995" spans="14:25" ht="15" customHeight="1" x14ac:dyDescent="0.25">
      <c r="N6995" s="44"/>
      <c r="O6995" s="44"/>
      <c r="P6995" s="44"/>
      <c r="Q6995" s="44"/>
      <c r="R6995" s="44"/>
      <c r="S6995" s="44"/>
      <c r="T6995" s="44"/>
      <c r="U6995" s="44"/>
      <c r="V6995" s="44"/>
      <c r="W6995" s="44"/>
      <c r="X6995" s="44"/>
      <c r="Y6995" s="44"/>
    </row>
    <row r="6996" spans="14:25" ht="15" customHeight="1" x14ac:dyDescent="0.25">
      <c r="N6996" s="44"/>
      <c r="O6996" s="44"/>
      <c r="P6996" s="44"/>
      <c r="Q6996" s="44"/>
      <c r="R6996" s="44"/>
      <c r="S6996" s="44"/>
      <c r="T6996" s="44"/>
      <c r="U6996" s="44"/>
      <c r="V6996" s="44"/>
      <c r="W6996" s="44"/>
      <c r="X6996" s="44"/>
      <c r="Y6996" s="44"/>
    </row>
    <row r="6997" spans="14:25" ht="15" customHeight="1" x14ac:dyDescent="0.25">
      <c r="N6997" s="44"/>
      <c r="O6997" s="44"/>
      <c r="P6997" s="44"/>
      <c r="Q6997" s="44"/>
      <c r="R6997" s="44"/>
      <c r="S6997" s="44"/>
      <c r="T6997" s="44"/>
      <c r="U6997" s="44"/>
      <c r="V6997" s="44"/>
      <c r="W6997" s="44"/>
      <c r="X6997" s="44"/>
      <c r="Y6997" s="44"/>
    </row>
    <row r="6998" spans="14:25" ht="15" customHeight="1" x14ac:dyDescent="0.25">
      <c r="N6998" s="44"/>
      <c r="O6998" s="44"/>
      <c r="P6998" s="44"/>
      <c r="Q6998" s="44"/>
      <c r="R6998" s="44"/>
      <c r="S6998" s="44"/>
      <c r="T6998" s="44"/>
      <c r="U6998" s="44"/>
      <c r="V6998" s="44"/>
      <c r="W6998" s="44"/>
      <c r="X6998" s="44"/>
      <c r="Y6998" s="44"/>
    </row>
    <row r="6999" spans="14:25" ht="15" customHeight="1" x14ac:dyDescent="0.25">
      <c r="N6999" s="44"/>
      <c r="O6999" s="44"/>
      <c r="P6999" s="44"/>
      <c r="Q6999" s="44"/>
      <c r="R6999" s="44"/>
      <c r="S6999" s="44"/>
      <c r="T6999" s="44"/>
      <c r="U6999" s="44"/>
      <c r="V6999" s="44"/>
      <c r="W6999" s="44"/>
      <c r="X6999" s="44"/>
      <c r="Y6999" s="44"/>
    </row>
    <row r="7000" spans="14:25" ht="15" customHeight="1" x14ac:dyDescent="0.25">
      <c r="N7000" s="44"/>
      <c r="O7000" s="44"/>
      <c r="P7000" s="44"/>
      <c r="Q7000" s="44"/>
      <c r="R7000" s="44"/>
      <c r="S7000" s="44"/>
      <c r="T7000" s="44"/>
      <c r="U7000" s="44"/>
      <c r="V7000" s="44"/>
      <c r="W7000" s="44"/>
      <c r="X7000" s="44"/>
      <c r="Y7000" s="44"/>
    </row>
    <row r="7001" spans="14:25" ht="15" customHeight="1" x14ac:dyDescent="0.25">
      <c r="N7001" s="44"/>
      <c r="O7001" s="44"/>
      <c r="P7001" s="44"/>
      <c r="Q7001" s="44"/>
      <c r="R7001" s="44"/>
      <c r="S7001" s="44"/>
      <c r="T7001" s="44"/>
      <c r="U7001" s="44"/>
      <c r="V7001" s="44"/>
      <c r="W7001" s="44"/>
      <c r="X7001" s="44"/>
      <c r="Y7001" s="44"/>
    </row>
    <row r="7002" spans="14:25" ht="15" customHeight="1" x14ac:dyDescent="0.25">
      <c r="N7002" s="44"/>
      <c r="O7002" s="44"/>
      <c r="P7002" s="44"/>
      <c r="Q7002" s="44"/>
      <c r="R7002" s="44"/>
      <c r="S7002" s="44"/>
      <c r="T7002" s="44"/>
      <c r="U7002" s="44"/>
      <c r="V7002" s="44"/>
      <c r="W7002" s="44"/>
      <c r="X7002" s="44"/>
      <c r="Y7002" s="44"/>
    </row>
    <row r="7003" spans="14:25" ht="15" customHeight="1" x14ac:dyDescent="0.25">
      <c r="N7003" s="44"/>
      <c r="O7003" s="44"/>
      <c r="P7003" s="44"/>
      <c r="Q7003" s="44"/>
      <c r="R7003" s="44"/>
      <c r="S7003" s="44"/>
      <c r="T7003" s="44"/>
      <c r="U7003" s="44"/>
      <c r="V7003" s="44"/>
      <c r="W7003" s="44"/>
      <c r="X7003" s="44"/>
      <c r="Y7003" s="44"/>
    </row>
    <row r="7004" spans="14:25" ht="15" customHeight="1" x14ac:dyDescent="0.25">
      <c r="N7004" s="44"/>
      <c r="O7004" s="44"/>
      <c r="P7004" s="44"/>
      <c r="Q7004" s="44"/>
      <c r="R7004" s="44"/>
      <c r="S7004" s="44"/>
      <c r="T7004" s="44"/>
      <c r="U7004" s="44"/>
      <c r="V7004" s="44"/>
      <c r="W7004" s="44"/>
      <c r="X7004" s="44"/>
      <c r="Y7004" s="44"/>
    </row>
    <row r="7005" spans="14:25" ht="15" customHeight="1" x14ac:dyDescent="0.25">
      <c r="N7005" s="44"/>
      <c r="O7005" s="44"/>
      <c r="P7005" s="44"/>
      <c r="Q7005" s="44"/>
      <c r="R7005" s="44"/>
      <c r="S7005" s="44"/>
      <c r="T7005" s="44"/>
      <c r="U7005" s="44"/>
      <c r="V7005" s="44"/>
      <c r="W7005" s="44"/>
      <c r="X7005" s="44"/>
      <c r="Y7005" s="44"/>
    </row>
    <row r="7006" spans="14:25" ht="15" customHeight="1" x14ac:dyDescent="0.25">
      <c r="N7006" s="44"/>
      <c r="O7006" s="44"/>
      <c r="P7006" s="44"/>
      <c r="Q7006" s="44"/>
      <c r="R7006" s="44"/>
      <c r="S7006" s="44"/>
      <c r="T7006" s="44"/>
      <c r="U7006" s="44"/>
      <c r="V7006" s="44"/>
      <c r="W7006" s="44"/>
      <c r="X7006" s="44"/>
      <c r="Y7006" s="44"/>
    </row>
    <row r="7007" spans="14:25" ht="15" customHeight="1" x14ac:dyDescent="0.25">
      <c r="N7007" s="44"/>
      <c r="O7007" s="44"/>
      <c r="P7007" s="44"/>
      <c r="Q7007" s="44"/>
      <c r="R7007" s="44"/>
      <c r="S7007" s="44"/>
      <c r="T7007" s="44"/>
      <c r="U7007" s="44"/>
      <c r="V7007" s="44"/>
      <c r="W7007" s="44"/>
      <c r="X7007" s="44"/>
      <c r="Y7007" s="44"/>
    </row>
    <row r="7008" spans="14:25" ht="15" customHeight="1" x14ac:dyDescent="0.25">
      <c r="N7008" s="44"/>
      <c r="O7008" s="44"/>
      <c r="P7008" s="44"/>
      <c r="Q7008" s="44"/>
      <c r="R7008" s="44"/>
      <c r="S7008" s="44"/>
      <c r="T7008" s="44"/>
      <c r="U7008" s="44"/>
      <c r="V7008" s="44"/>
      <c r="W7008" s="44"/>
      <c r="X7008" s="44"/>
      <c r="Y7008" s="44"/>
    </row>
    <row r="7009" spans="14:25" ht="15" customHeight="1" x14ac:dyDescent="0.25">
      <c r="N7009" s="44"/>
      <c r="O7009" s="44"/>
      <c r="P7009" s="44"/>
      <c r="Q7009" s="44"/>
      <c r="R7009" s="44"/>
      <c r="S7009" s="44"/>
      <c r="T7009" s="44"/>
      <c r="U7009" s="44"/>
      <c r="V7009" s="44"/>
      <c r="W7009" s="44"/>
      <c r="X7009" s="44"/>
      <c r="Y7009" s="44"/>
    </row>
    <row r="7010" spans="14:25" ht="15" customHeight="1" x14ac:dyDescent="0.25">
      <c r="N7010" s="44"/>
      <c r="O7010" s="44"/>
      <c r="P7010" s="44"/>
      <c r="Q7010" s="44"/>
      <c r="R7010" s="44"/>
      <c r="S7010" s="44"/>
      <c r="T7010" s="44"/>
      <c r="U7010" s="44"/>
      <c r="V7010" s="44"/>
      <c r="W7010" s="44"/>
      <c r="X7010" s="44"/>
      <c r="Y7010" s="44"/>
    </row>
    <row r="7011" spans="14:25" ht="15" customHeight="1" x14ac:dyDescent="0.25">
      <c r="N7011" s="44"/>
      <c r="O7011" s="44"/>
      <c r="P7011" s="44"/>
      <c r="Q7011" s="44"/>
      <c r="R7011" s="44"/>
      <c r="S7011" s="44"/>
      <c r="T7011" s="44"/>
      <c r="U7011" s="44"/>
      <c r="V7011" s="44"/>
      <c r="W7011" s="44"/>
      <c r="X7011" s="44"/>
      <c r="Y7011" s="44"/>
    </row>
    <row r="7012" spans="14:25" ht="15" customHeight="1" x14ac:dyDescent="0.25">
      <c r="N7012" s="44"/>
      <c r="O7012" s="44"/>
      <c r="P7012" s="44"/>
      <c r="Q7012" s="44"/>
      <c r="R7012" s="44"/>
      <c r="S7012" s="44"/>
      <c r="T7012" s="44"/>
      <c r="U7012" s="44"/>
      <c r="V7012" s="44"/>
      <c r="W7012" s="44"/>
      <c r="X7012" s="44"/>
      <c r="Y7012" s="44"/>
    </row>
    <row r="7013" spans="14:25" ht="15" customHeight="1" x14ac:dyDescent="0.25">
      <c r="N7013" s="44"/>
      <c r="O7013" s="44"/>
      <c r="P7013" s="44"/>
      <c r="Q7013" s="44"/>
      <c r="R7013" s="44"/>
      <c r="S7013" s="44"/>
      <c r="T7013" s="44"/>
      <c r="U7013" s="44"/>
      <c r="V7013" s="44"/>
      <c r="W7013" s="44"/>
      <c r="X7013" s="44"/>
      <c r="Y7013" s="44"/>
    </row>
    <row r="7014" spans="14:25" ht="15" customHeight="1" x14ac:dyDescent="0.25">
      <c r="N7014" s="44"/>
      <c r="O7014" s="44"/>
      <c r="P7014" s="44"/>
      <c r="Q7014" s="44"/>
      <c r="R7014" s="44"/>
      <c r="S7014" s="44"/>
      <c r="T7014" s="44"/>
      <c r="U7014" s="44"/>
      <c r="V7014" s="44"/>
      <c r="W7014" s="44"/>
      <c r="X7014" s="44"/>
      <c r="Y7014" s="44"/>
    </row>
    <row r="7015" spans="14:25" ht="15" customHeight="1" x14ac:dyDescent="0.25">
      <c r="N7015" s="44"/>
      <c r="O7015" s="44"/>
      <c r="P7015" s="44"/>
      <c r="Q7015" s="44"/>
      <c r="R7015" s="44"/>
      <c r="S7015" s="44"/>
      <c r="T7015" s="44"/>
      <c r="U7015" s="44"/>
      <c r="V7015" s="44"/>
      <c r="W7015" s="44"/>
      <c r="X7015" s="44"/>
      <c r="Y7015" s="44"/>
    </row>
    <row r="7016" spans="14:25" ht="15" customHeight="1" x14ac:dyDescent="0.25">
      <c r="N7016" s="44"/>
      <c r="O7016" s="44"/>
      <c r="P7016" s="44"/>
      <c r="Q7016" s="44"/>
      <c r="R7016" s="44"/>
      <c r="S7016" s="44"/>
      <c r="T7016" s="44"/>
      <c r="U7016" s="44"/>
      <c r="V7016" s="44"/>
      <c r="W7016" s="44"/>
      <c r="X7016" s="44"/>
      <c r="Y7016" s="44"/>
    </row>
    <row r="7017" spans="14:25" ht="15" customHeight="1" x14ac:dyDescent="0.25">
      <c r="N7017" s="44"/>
      <c r="O7017" s="44"/>
      <c r="P7017" s="44"/>
      <c r="Q7017" s="44"/>
      <c r="R7017" s="44"/>
      <c r="S7017" s="44"/>
      <c r="T7017" s="44"/>
      <c r="U7017" s="44"/>
      <c r="V7017" s="44"/>
      <c r="W7017" s="44"/>
      <c r="X7017" s="44"/>
      <c r="Y7017" s="44"/>
    </row>
    <row r="7018" spans="14:25" ht="15" customHeight="1" x14ac:dyDescent="0.25">
      <c r="N7018" s="44"/>
      <c r="O7018" s="44"/>
      <c r="P7018" s="44"/>
      <c r="Q7018" s="44"/>
      <c r="R7018" s="44"/>
      <c r="S7018" s="44"/>
      <c r="T7018" s="44"/>
      <c r="U7018" s="44"/>
      <c r="V7018" s="44"/>
      <c r="W7018" s="44"/>
      <c r="X7018" s="44"/>
      <c r="Y7018" s="44"/>
    </row>
    <row r="7019" spans="14:25" ht="15" customHeight="1" x14ac:dyDescent="0.25">
      <c r="N7019" s="44"/>
      <c r="O7019" s="44"/>
      <c r="P7019" s="44"/>
      <c r="Q7019" s="44"/>
      <c r="R7019" s="44"/>
      <c r="S7019" s="44"/>
      <c r="T7019" s="44"/>
      <c r="U7019" s="44"/>
      <c r="V7019" s="44"/>
      <c r="W7019" s="44"/>
      <c r="X7019" s="44"/>
      <c r="Y7019" s="44"/>
    </row>
    <row r="7020" spans="14:25" ht="15" customHeight="1" x14ac:dyDescent="0.25">
      <c r="N7020" s="44"/>
      <c r="O7020" s="44"/>
      <c r="P7020" s="44"/>
      <c r="Q7020" s="44"/>
      <c r="R7020" s="44"/>
      <c r="S7020" s="44"/>
      <c r="T7020" s="44"/>
      <c r="U7020" s="44"/>
      <c r="V7020" s="44"/>
      <c r="W7020" s="44"/>
      <c r="X7020" s="44"/>
      <c r="Y7020" s="44"/>
    </row>
    <row r="7021" spans="14:25" ht="15" customHeight="1" x14ac:dyDescent="0.25">
      <c r="N7021" s="44"/>
      <c r="O7021" s="44"/>
      <c r="P7021" s="44"/>
      <c r="Q7021" s="44"/>
      <c r="R7021" s="44"/>
      <c r="S7021" s="44"/>
      <c r="T7021" s="44"/>
      <c r="U7021" s="44"/>
      <c r="V7021" s="44"/>
      <c r="W7021" s="44"/>
      <c r="X7021" s="44"/>
      <c r="Y7021" s="44"/>
    </row>
    <row r="7022" spans="14:25" ht="15" customHeight="1" x14ac:dyDescent="0.25">
      <c r="N7022" s="44"/>
      <c r="O7022" s="44"/>
      <c r="P7022" s="44"/>
      <c r="Q7022" s="44"/>
      <c r="R7022" s="44"/>
      <c r="S7022" s="44"/>
      <c r="T7022" s="44"/>
      <c r="U7022" s="44"/>
      <c r="V7022" s="44"/>
      <c r="W7022" s="44"/>
      <c r="X7022" s="44"/>
      <c r="Y7022" s="44"/>
    </row>
    <row r="7023" spans="14:25" ht="15" customHeight="1" x14ac:dyDescent="0.25">
      <c r="N7023" s="44"/>
      <c r="O7023" s="44"/>
      <c r="P7023" s="44"/>
      <c r="Q7023" s="44"/>
      <c r="R7023" s="44"/>
      <c r="S7023" s="44"/>
      <c r="T7023" s="44"/>
      <c r="U7023" s="44"/>
      <c r="V7023" s="44"/>
      <c r="W7023" s="44"/>
      <c r="X7023" s="44"/>
      <c r="Y7023" s="44"/>
    </row>
    <row r="7024" spans="14:25" ht="15" customHeight="1" x14ac:dyDescent="0.25">
      <c r="N7024" s="44"/>
      <c r="O7024" s="44"/>
      <c r="P7024" s="44"/>
      <c r="Q7024" s="44"/>
      <c r="R7024" s="44"/>
      <c r="S7024" s="44"/>
      <c r="T7024" s="44"/>
      <c r="U7024" s="44"/>
      <c r="V7024" s="44"/>
      <c r="W7024" s="44"/>
      <c r="X7024" s="44"/>
      <c r="Y7024" s="44"/>
    </row>
    <row r="7025" spans="14:25" ht="15" customHeight="1" x14ac:dyDescent="0.25">
      <c r="N7025" s="44"/>
      <c r="O7025" s="44"/>
      <c r="P7025" s="44"/>
      <c r="Q7025" s="44"/>
      <c r="R7025" s="44"/>
      <c r="S7025" s="44"/>
      <c r="T7025" s="44"/>
      <c r="U7025" s="44"/>
      <c r="V7025" s="44"/>
      <c r="W7025" s="44"/>
      <c r="X7025" s="44"/>
      <c r="Y7025" s="44"/>
    </row>
    <row r="7026" spans="14:25" ht="15" customHeight="1" x14ac:dyDescent="0.25">
      <c r="N7026" s="44"/>
      <c r="O7026" s="44"/>
      <c r="P7026" s="44"/>
      <c r="Q7026" s="44"/>
      <c r="R7026" s="44"/>
      <c r="S7026" s="44"/>
      <c r="T7026" s="44"/>
      <c r="U7026" s="44"/>
      <c r="V7026" s="44"/>
      <c r="W7026" s="44"/>
      <c r="X7026" s="44"/>
      <c r="Y7026" s="44"/>
    </row>
    <row r="7027" spans="14:25" ht="15" customHeight="1" x14ac:dyDescent="0.25">
      <c r="N7027" s="44"/>
      <c r="O7027" s="44"/>
      <c r="P7027" s="44"/>
      <c r="Q7027" s="44"/>
      <c r="R7027" s="44"/>
      <c r="S7027" s="44"/>
      <c r="T7027" s="44"/>
      <c r="U7027" s="44"/>
      <c r="V7027" s="44"/>
      <c r="W7027" s="44"/>
      <c r="X7027" s="44"/>
      <c r="Y7027" s="44"/>
    </row>
    <row r="7028" spans="14:25" ht="15" customHeight="1" x14ac:dyDescent="0.25">
      <c r="N7028" s="44"/>
      <c r="O7028" s="44"/>
      <c r="P7028" s="44"/>
      <c r="Q7028" s="44"/>
      <c r="R7028" s="44"/>
      <c r="S7028" s="44"/>
      <c r="T7028" s="44"/>
      <c r="U7028" s="44"/>
      <c r="V7028" s="44"/>
      <c r="W7028" s="44"/>
      <c r="X7028" s="44"/>
      <c r="Y7028" s="44"/>
    </row>
    <row r="7029" spans="14:25" ht="15" customHeight="1" x14ac:dyDescent="0.25">
      <c r="N7029" s="44"/>
      <c r="O7029" s="44"/>
      <c r="P7029" s="44"/>
      <c r="Q7029" s="44"/>
      <c r="R7029" s="44"/>
      <c r="S7029" s="44"/>
      <c r="T7029" s="44"/>
      <c r="U7029" s="44"/>
      <c r="V7029" s="44"/>
      <c r="W7029" s="44"/>
      <c r="X7029" s="44"/>
      <c r="Y7029" s="44"/>
    </row>
    <row r="7030" spans="14:25" ht="15" customHeight="1" x14ac:dyDescent="0.25">
      <c r="N7030" s="44"/>
      <c r="O7030" s="44"/>
      <c r="P7030" s="44"/>
      <c r="Q7030" s="44"/>
      <c r="R7030" s="44"/>
      <c r="S7030" s="44"/>
      <c r="T7030" s="44"/>
      <c r="U7030" s="44"/>
      <c r="V7030" s="44"/>
      <c r="W7030" s="44"/>
      <c r="X7030" s="44"/>
      <c r="Y7030" s="44"/>
    </row>
    <row r="7031" spans="14:25" ht="15" customHeight="1" x14ac:dyDescent="0.25">
      <c r="N7031" s="44"/>
      <c r="O7031" s="44"/>
      <c r="P7031" s="44"/>
      <c r="Q7031" s="44"/>
      <c r="R7031" s="44"/>
      <c r="S7031" s="44"/>
      <c r="T7031" s="44"/>
      <c r="U7031" s="44"/>
      <c r="V7031" s="44"/>
      <c r="W7031" s="44"/>
      <c r="X7031" s="44"/>
      <c r="Y7031" s="44"/>
    </row>
    <row r="7032" spans="14:25" ht="15" customHeight="1" x14ac:dyDescent="0.25">
      <c r="N7032" s="44"/>
      <c r="O7032" s="44"/>
      <c r="P7032" s="44"/>
      <c r="Q7032" s="44"/>
      <c r="R7032" s="44"/>
      <c r="S7032" s="44"/>
      <c r="T7032" s="44"/>
      <c r="U7032" s="44"/>
      <c r="V7032" s="44"/>
      <c r="W7032" s="44"/>
      <c r="X7032" s="44"/>
      <c r="Y7032" s="44"/>
    </row>
    <row r="7033" spans="14:25" ht="15" customHeight="1" x14ac:dyDescent="0.25">
      <c r="N7033" s="44"/>
      <c r="O7033" s="44"/>
      <c r="P7033" s="44"/>
      <c r="Q7033" s="44"/>
      <c r="R7033" s="44"/>
      <c r="S7033" s="44"/>
      <c r="T7033" s="44"/>
      <c r="U7033" s="44"/>
      <c r="V7033" s="44"/>
      <c r="W7033" s="44"/>
      <c r="X7033" s="44"/>
      <c r="Y7033" s="44"/>
    </row>
    <row r="7034" spans="14:25" ht="15" customHeight="1" x14ac:dyDescent="0.25">
      <c r="N7034" s="44"/>
      <c r="O7034" s="44"/>
      <c r="P7034" s="44"/>
      <c r="Q7034" s="44"/>
      <c r="R7034" s="44"/>
      <c r="S7034" s="44"/>
      <c r="T7034" s="44"/>
      <c r="U7034" s="44"/>
      <c r="V7034" s="44"/>
      <c r="W7034" s="44"/>
      <c r="X7034" s="44"/>
      <c r="Y7034" s="44"/>
    </row>
    <row r="7035" spans="14:25" ht="15" customHeight="1" x14ac:dyDescent="0.25">
      <c r="N7035" s="44"/>
      <c r="O7035" s="44"/>
      <c r="P7035" s="44"/>
      <c r="Q7035" s="44"/>
      <c r="R7035" s="44"/>
      <c r="S7035" s="44"/>
      <c r="T7035" s="44"/>
      <c r="U7035" s="44"/>
      <c r="V7035" s="44"/>
      <c r="W7035" s="44"/>
      <c r="X7035" s="44"/>
      <c r="Y7035" s="44"/>
    </row>
    <row r="7036" spans="14:25" ht="15" customHeight="1" x14ac:dyDescent="0.25">
      <c r="N7036" s="44"/>
      <c r="O7036" s="44"/>
      <c r="P7036" s="44"/>
      <c r="Q7036" s="44"/>
      <c r="R7036" s="44"/>
      <c r="S7036" s="44"/>
      <c r="T7036" s="44"/>
      <c r="U7036" s="44"/>
      <c r="V7036" s="44"/>
      <c r="W7036" s="44"/>
      <c r="X7036" s="44"/>
      <c r="Y7036" s="44"/>
    </row>
    <row r="7037" spans="14:25" ht="15" customHeight="1" x14ac:dyDescent="0.25">
      <c r="N7037" s="44"/>
      <c r="O7037" s="44"/>
      <c r="P7037" s="44"/>
      <c r="Q7037" s="44"/>
      <c r="R7037" s="44"/>
      <c r="S7037" s="44"/>
      <c r="T7037" s="44"/>
      <c r="U7037" s="44"/>
      <c r="V7037" s="44"/>
      <c r="W7037" s="44"/>
      <c r="X7037" s="44"/>
      <c r="Y7037" s="44"/>
    </row>
    <row r="7038" spans="14:25" ht="15" customHeight="1" x14ac:dyDescent="0.25">
      <c r="N7038" s="44"/>
      <c r="O7038" s="44"/>
      <c r="P7038" s="44"/>
      <c r="Q7038" s="44"/>
      <c r="R7038" s="44"/>
      <c r="S7038" s="44"/>
      <c r="T7038" s="44"/>
      <c r="U7038" s="44"/>
      <c r="V7038" s="44"/>
      <c r="W7038" s="44"/>
      <c r="X7038" s="44"/>
      <c r="Y7038" s="44"/>
    </row>
    <row r="7039" spans="14:25" ht="15" customHeight="1" x14ac:dyDescent="0.25">
      <c r="N7039" s="44"/>
      <c r="O7039" s="44"/>
      <c r="P7039" s="44"/>
      <c r="Q7039" s="44"/>
      <c r="R7039" s="44"/>
      <c r="S7039" s="44"/>
      <c r="T7039" s="44"/>
      <c r="U7039" s="44"/>
      <c r="V7039" s="44"/>
      <c r="W7039" s="44"/>
      <c r="X7039" s="44"/>
      <c r="Y7039" s="44"/>
    </row>
    <row r="7040" spans="14:25" ht="15" customHeight="1" x14ac:dyDescent="0.25">
      <c r="N7040" s="44"/>
      <c r="O7040" s="44"/>
      <c r="P7040" s="44"/>
      <c r="Q7040" s="44"/>
      <c r="R7040" s="44"/>
      <c r="S7040" s="44"/>
      <c r="T7040" s="44"/>
      <c r="U7040" s="44"/>
      <c r="V7040" s="44"/>
      <c r="W7040" s="44"/>
      <c r="X7040" s="44"/>
      <c r="Y7040" s="44"/>
    </row>
    <row r="7041" spans="14:25" ht="15" customHeight="1" x14ac:dyDescent="0.25">
      <c r="N7041" s="44"/>
      <c r="O7041" s="44"/>
      <c r="P7041" s="44"/>
      <c r="Q7041" s="44"/>
      <c r="R7041" s="44"/>
      <c r="S7041" s="44"/>
      <c r="T7041" s="44"/>
      <c r="U7041" s="44"/>
      <c r="V7041" s="44"/>
      <c r="W7041" s="44"/>
      <c r="X7041" s="44"/>
      <c r="Y7041" s="44"/>
    </row>
    <row r="7042" spans="14:25" ht="15" customHeight="1" x14ac:dyDescent="0.25">
      <c r="N7042" s="44"/>
      <c r="O7042" s="44"/>
      <c r="P7042" s="44"/>
      <c r="Q7042" s="44"/>
      <c r="R7042" s="44"/>
      <c r="S7042" s="44"/>
      <c r="T7042" s="44"/>
      <c r="U7042" s="44"/>
      <c r="V7042" s="44"/>
      <c r="W7042" s="44"/>
      <c r="X7042" s="44"/>
      <c r="Y7042" s="44"/>
    </row>
    <row r="7043" spans="14:25" ht="15" customHeight="1" x14ac:dyDescent="0.25">
      <c r="N7043" s="44"/>
      <c r="O7043" s="44"/>
      <c r="P7043" s="44"/>
      <c r="Q7043" s="44"/>
      <c r="R7043" s="44"/>
      <c r="S7043" s="44"/>
      <c r="T7043" s="44"/>
      <c r="U7043" s="44"/>
      <c r="V7043" s="44"/>
      <c r="W7043" s="44"/>
      <c r="X7043" s="44"/>
      <c r="Y7043" s="44"/>
    </row>
    <row r="7044" spans="14:25" ht="15" customHeight="1" x14ac:dyDescent="0.25">
      <c r="N7044" s="44"/>
      <c r="O7044" s="44"/>
      <c r="P7044" s="44"/>
      <c r="Q7044" s="44"/>
      <c r="R7044" s="44"/>
      <c r="S7044" s="44"/>
      <c r="T7044" s="44"/>
      <c r="U7044" s="44"/>
      <c r="V7044" s="44"/>
      <c r="W7044" s="44"/>
      <c r="X7044" s="44"/>
      <c r="Y7044" s="44"/>
    </row>
    <row r="7045" spans="14:25" ht="15" customHeight="1" x14ac:dyDescent="0.25">
      <c r="N7045" s="44"/>
      <c r="O7045" s="44"/>
      <c r="P7045" s="44"/>
      <c r="Q7045" s="44"/>
      <c r="R7045" s="44"/>
      <c r="S7045" s="44"/>
      <c r="T7045" s="44"/>
      <c r="U7045" s="44"/>
      <c r="V7045" s="44"/>
      <c r="W7045" s="44"/>
      <c r="X7045" s="44"/>
      <c r="Y7045" s="44"/>
    </row>
    <row r="7046" spans="14:25" ht="15" customHeight="1" x14ac:dyDescent="0.25">
      <c r="N7046" s="44"/>
      <c r="O7046" s="44"/>
      <c r="P7046" s="44"/>
      <c r="Q7046" s="44"/>
      <c r="R7046" s="44"/>
      <c r="S7046" s="44"/>
      <c r="T7046" s="44"/>
      <c r="U7046" s="44"/>
      <c r="V7046" s="44"/>
      <c r="W7046" s="44"/>
      <c r="X7046" s="44"/>
      <c r="Y7046" s="44"/>
    </row>
    <row r="7047" spans="14:25" ht="15" customHeight="1" x14ac:dyDescent="0.25">
      <c r="N7047" s="44"/>
      <c r="O7047" s="44"/>
      <c r="P7047" s="44"/>
      <c r="Q7047" s="44"/>
      <c r="R7047" s="44"/>
      <c r="S7047" s="44"/>
      <c r="T7047" s="44"/>
      <c r="U7047" s="44"/>
      <c r="V7047" s="44"/>
      <c r="W7047" s="44"/>
      <c r="X7047" s="44"/>
      <c r="Y7047" s="44"/>
    </row>
    <row r="7048" spans="14:25" ht="15" customHeight="1" x14ac:dyDescent="0.25">
      <c r="N7048" s="44"/>
      <c r="O7048" s="44"/>
      <c r="P7048" s="44"/>
      <c r="Q7048" s="44"/>
      <c r="R7048" s="44"/>
      <c r="S7048" s="44"/>
      <c r="T7048" s="44"/>
      <c r="U7048" s="44"/>
      <c r="V7048" s="44"/>
      <c r="W7048" s="44"/>
      <c r="X7048" s="44"/>
      <c r="Y7048" s="44"/>
    </row>
    <row r="7049" spans="14:25" ht="15" customHeight="1" x14ac:dyDescent="0.25">
      <c r="N7049" s="44"/>
      <c r="O7049" s="44"/>
      <c r="P7049" s="44"/>
      <c r="Q7049" s="44"/>
      <c r="R7049" s="44"/>
      <c r="S7049" s="44"/>
      <c r="T7049" s="44"/>
      <c r="U7049" s="44"/>
      <c r="V7049" s="44"/>
      <c r="W7049" s="44"/>
      <c r="X7049" s="44"/>
      <c r="Y7049" s="44"/>
    </row>
    <row r="7050" spans="14:25" ht="15" customHeight="1" x14ac:dyDescent="0.25">
      <c r="N7050" s="44"/>
      <c r="O7050" s="44"/>
      <c r="P7050" s="44"/>
      <c r="Q7050" s="44"/>
      <c r="R7050" s="44"/>
      <c r="S7050" s="44"/>
      <c r="T7050" s="44"/>
      <c r="U7050" s="44"/>
      <c r="V7050" s="44"/>
      <c r="W7050" s="44"/>
      <c r="X7050" s="44"/>
      <c r="Y7050" s="44"/>
    </row>
    <row r="7051" spans="14:25" ht="15" customHeight="1" x14ac:dyDescent="0.25">
      <c r="N7051" s="44"/>
      <c r="O7051" s="44"/>
      <c r="P7051" s="44"/>
      <c r="Q7051" s="44"/>
      <c r="R7051" s="44"/>
      <c r="S7051" s="44"/>
      <c r="T7051" s="44"/>
      <c r="U7051" s="44"/>
      <c r="V7051" s="44"/>
      <c r="W7051" s="44"/>
      <c r="X7051" s="44"/>
      <c r="Y7051" s="44"/>
    </row>
    <row r="7052" spans="14:25" ht="15" customHeight="1" x14ac:dyDescent="0.25">
      <c r="N7052" s="44"/>
      <c r="O7052" s="44"/>
      <c r="P7052" s="44"/>
      <c r="Q7052" s="44"/>
      <c r="R7052" s="44"/>
      <c r="S7052" s="44"/>
      <c r="T7052" s="44"/>
      <c r="U7052" s="44"/>
      <c r="V7052" s="44"/>
      <c r="W7052" s="44"/>
      <c r="X7052" s="44"/>
      <c r="Y7052" s="44"/>
    </row>
    <row r="7053" spans="14:25" ht="15" customHeight="1" x14ac:dyDescent="0.25">
      <c r="N7053" s="44"/>
      <c r="O7053" s="44"/>
      <c r="P7053" s="44"/>
      <c r="Q7053" s="44"/>
      <c r="R7053" s="44"/>
      <c r="S7053" s="44"/>
      <c r="T7053" s="44"/>
      <c r="U7053" s="44"/>
      <c r="V7053" s="44"/>
      <c r="W7053" s="44"/>
      <c r="X7053" s="44"/>
      <c r="Y7053" s="44"/>
    </row>
    <row r="7054" spans="14:25" ht="15" customHeight="1" x14ac:dyDescent="0.25">
      <c r="N7054" s="44"/>
      <c r="O7054" s="44"/>
      <c r="P7054" s="44"/>
      <c r="Q7054" s="44"/>
      <c r="R7054" s="44"/>
      <c r="S7054" s="44"/>
      <c r="T7054" s="44"/>
      <c r="U7054" s="44"/>
      <c r="V7054" s="44"/>
      <c r="W7054" s="44"/>
      <c r="X7054" s="44"/>
      <c r="Y7054" s="44"/>
    </row>
    <row r="7055" spans="14:25" ht="15" customHeight="1" x14ac:dyDescent="0.25">
      <c r="N7055" s="44"/>
      <c r="O7055" s="44"/>
      <c r="P7055" s="44"/>
      <c r="Q7055" s="44"/>
      <c r="R7055" s="44"/>
      <c r="S7055" s="44"/>
      <c r="T7055" s="44"/>
      <c r="U7055" s="44"/>
      <c r="V7055" s="44"/>
      <c r="W7055" s="44"/>
      <c r="X7055" s="44"/>
      <c r="Y7055" s="44"/>
    </row>
    <row r="7056" spans="14:25" ht="15" customHeight="1" x14ac:dyDescent="0.25">
      <c r="N7056" s="44"/>
      <c r="O7056" s="44"/>
      <c r="P7056" s="44"/>
      <c r="Q7056" s="44"/>
      <c r="R7056" s="44"/>
      <c r="S7056" s="44"/>
      <c r="T7056" s="44"/>
      <c r="U7056" s="44"/>
      <c r="V7056" s="44"/>
      <c r="W7056" s="44"/>
      <c r="X7056" s="44"/>
      <c r="Y7056" s="44"/>
    </row>
    <row r="7057" spans="14:25" ht="15" customHeight="1" x14ac:dyDescent="0.25">
      <c r="N7057" s="44"/>
      <c r="O7057" s="44"/>
      <c r="P7057" s="44"/>
      <c r="Q7057" s="44"/>
      <c r="R7057" s="44"/>
      <c r="S7057" s="44"/>
      <c r="T7057" s="44"/>
      <c r="U7057" s="44"/>
      <c r="V7057" s="44"/>
      <c r="W7057" s="44"/>
      <c r="X7057" s="44"/>
      <c r="Y7057" s="44"/>
    </row>
    <row r="7058" spans="14:25" ht="15" customHeight="1" x14ac:dyDescent="0.25">
      <c r="N7058" s="44"/>
      <c r="O7058" s="44"/>
      <c r="P7058" s="44"/>
      <c r="Q7058" s="44"/>
      <c r="R7058" s="44"/>
      <c r="S7058" s="44"/>
      <c r="T7058" s="44"/>
      <c r="U7058" s="44"/>
      <c r="V7058" s="44"/>
      <c r="W7058" s="44"/>
      <c r="X7058" s="44"/>
      <c r="Y7058" s="44"/>
    </row>
    <row r="7059" spans="14:25" ht="15" customHeight="1" x14ac:dyDescent="0.25">
      <c r="N7059" s="44"/>
      <c r="O7059" s="44"/>
      <c r="P7059" s="44"/>
      <c r="Q7059" s="44"/>
      <c r="R7059" s="44"/>
      <c r="S7059" s="44"/>
      <c r="T7059" s="44"/>
      <c r="U7059" s="44"/>
      <c r="V7059" s="44"/>
      <c r="W7059" s="44"/>
      <c r="X7059" s="44"/>
      <c r="Y7059" s="44"/>
    </row>
    <row r="7060" spans="14:25" ht="15" customHeight="1" x14ac:dyDescent="0.25">
      <c r="N7060" s="44"/>
      <c r="O7060" s="44"/>
      <c r="P7060" s="44"/>
      <c r="Q7060" s="44"/>
      <c r="R7060" s="44"/>
      <c r="S7060" s="44"/>
      <c r="T7060" s="44"/>
      <c r="U7060" s="44"/>
      <c r="V7060" s="44"/>
      <c r="W7060" s="44"/>
      <c r="X7060" s="44"/>
      <c r="Y7060" s="44"/>
    </row>
    <row r="7061" spans="14:25" ht="15" customHeight="1" x14ac:dyDescent="0.25">
      <c r="N7061" s="44"/>
      <c r="O7061" s="44"/>
      <c r="P7061" s="44"/>
      <c r="Q7061" s="44"/>
      <c r="R7061" s="44"/>
      <c r="S7061" s="44"/>
      <c r="T7061" s="44"/>
      <c r="U7061" s="44"/>
      <c r="V7061" s="44"/>
      <c r="W7061" s="44"/>
      <c r="X7061" s="44"/>
      <c r="Y7061" s="44"/>
    </row>
    <row r="7062" spans="14:25" ht="15" customHeight="1" x14ac:dyDescent="0.25">
      <c r="N7062" s="44"/>
      <c r="O7062" s="44"/>
      <c r="P7062" s="44"/>
      <c r="Q7062" s="44"/>
      <c r="R7062" s="44"/>
      <c r="S7062" s="44"/>
      <c r="T7062" s="44"/>
      <c r="U7062" s="44"/>
      <c r="V7062" s="44"/>
      <c r="W7062" s="44"/>
      <c r="X7062" s="44"/>
      <c r="Y7062" s="44"/>
    </row>
    <row r="7063" spans="14:25" ht="15" customHeight="1" x14ac:dyDescent="0.25">
      <c r="N7063" s="44"/>
      <c r="O7063" s="44"/>
      <c r="P7063" s="44"/>
      <c r="Q7063" s="44"/>
      <c r="R7063" s="44"/>
      <c r="S7063" s="44"/>
      <c r="T7063" s="44"/>
      <c r="U7063" s="44"/>
      <c r="V7063" s="44"/>
      <c r="W7063" s="44"/>
      <c r="X7063" s="44"/>
      <c r="Y7063" s="44"/>
    </row>
    <row r="7064" spans="14:25" ht="15" customHeight="1" x14ac:dyDescent="0.25">
      <c r="N7064" s="44"/>
      <c r="O7064" s="44"/>
      <c r="P7064" s="44"/>
      <c r="Q7064" s="44"/>
      <c r="R7064" s="44"/>
      <c r="S7064" s="44"/>
      <c r="T7064" s="44"/>
      <c r="U7064" s="44"/>
      <c r="V7064" s="44"/>
      <c r="W7064" s="44"/>
      <c r="X7064" s="44"/>
      <c r="Y7064" s="44"/>
    </row>
    <row r="7065" spans="14:25" ht="15" customHeight="1" x14ac:dyDescent="0.25">
      <c r="N7065" s="44"/>
      <c r="O7065" s="44"/>
      <c r="P7065" s="44"/>
      <c r="Q7065" s="44"/>
      <c r="R7065" s="44"/>
      <c r="S7065" s="44"/>
      <c r="T7065" s="44"/>
      <c r="U7065" s="44"/>
      <c r="V7065" s="44"/>
      <c r="W7065" s="44"/>
      <c r="X7065" s="44"/>
      <c r="Y7065" s="44"/>
    </row>
    <row r="7066" spans="14:25" ht="15" customHeight="1" x14ac:dyDescent="0.25">
      <c r="N7066" s="44"/>
      <c r="O7066" s="44"/>
      <c r="P7066" s="44"/>
      <c r="Q7066" s="44"/>
      <c r="R7066" s="44"/>
      <c r="S7066" s="44"/>
      <c r="T7066" s="44"/>
      <c r="U7066" s="44"/>
      <c r="V7066" s="44"/>
      <c r="W7066" s="44"/>
      <c r="X7066" s="44"/>
      <c r="Y7066" s="44"/>
    </row>
    <row r="7067" spans="14:25" ht="15" customHeight="1" x14ac:dyDescent="0.25">
      <c r="N7067" s="44"/>
      <c r="O7067" s="44"/>
      <c r="P7067" s="44"/>
      <c r="Q7067" s="44"/>
      <c r="R7067" s="44"/>
      <c r="S7067" s="44"/>
      <c r="T7067" s="44"/>
      <c r="U7067" s="44"/>
      <c r="V7067" s="44"/>
      <c r="W7067" s="44"/>
      <c r="X7067" s="44"/>
      <c r="Y7067" s="44"/>
    </row>
    <row r="7068" spans="14:25" ht="15" customHeight="1" x14ac:dyDescent="0.25">
      <c r="N7068" s="44"/>
      <c r="O7068" s="44"/>
      <c r="P7068" s="44"/>
      <c r="Q7068" s="44"/>
      <c r="R7068" s="44"/>
      <c r="S7068" s="44"/>
      <c r="T7068" s="44"/>
      <c r="U7068" s="44"/>
      <c r="V7068" s="44"/>
      <c r="W7068" s="44"/>
      <c r="X7068" s="44"/>
      <c r="Y7068" s="44"/>
    </row>
    <row r="7069" spans="14:25" ht="15" customHeight="1" x14ac:dyDescent="0.25">
      <c r="N7069" s="44"/>
      <c r="O7069" s="44"/>
      <c r="P7069" s="44"/>
      <c r="Q7069" s="44"/>
      <c r="R7069" s="44"/>
      <c r="S7069" s="44"/>
      <c r="T7069" s="44"/>
      <c r="U7069" s="44"/>
      <c r="V7069" s="44"/>
      <c r="W7069" s="44"/>
      <c r="X7069" s="44"/>
      <c r="Y7069" s="44"/>
    </row>
    <row r="7070" spans="14:25" ht="15" customHeight="1" x14ac:dyDescent="0.25">
      <c r="N7070" s="44"/>
      <c r="O7070" s="44"/>
      <c r="P7070" s="44"/>
      <c r="Q7070" s="44"/>
      <c r="R7070" s="44"/>
      <c r="S7070" s="44"/>
      <c r="T7070" s="44"/>
      <c r="U7070" s="44"/>
      <c r="V7070" s="44"/>
      <c r="W7070" s="44"/>
      <c r="X7070" s="44"/>
      <c r="Y7070" s="44"/>
    </row>
    <row r="7071" spans="14:25" ht="15" customHeight="1" x14ac:dyDescent="0.25">
      <c r="N7071" s="44"/>
      <c r="O7071" s="44"/>
      <c r="P7071" s="44"/>
      <c r="Q7071" s="44"/>
      <c r="R7071" s="44"/>
      <c r="S7071" s="44"/>
      <c r="T7071" s="44"/>
      <c r="U7071" s="44"/>
      <c r="V7071" s="44"/>
      <c r="W7071" s="44"/>
      <c r="X7071" s="44"/>
      <c r="Y7071" s="44"/>
    </row>
    <row r="7072" spans="14:25" ht="15" customHeight="1" x14ac:dyDescent="0.25">
      <c r="N7072" s="44"/>
      <c r="O7072" s="44"/>
      <c r="P7072" s="44"/>
      <c r="Q7072" s="44"/>
      <c r="R7072" s="44"/>
      <c r="S7072" s="44"/>
      <c r="T7072" s="44"/>
      <c r="U7072" s="44"/>
      <c r="V7072" s="44"/>
      <c r="W7072" s="44"/>
      <c r="X7072" s="44"/>
      <c r="Y7072" s="44"/>
    </row>
    <row r="7073" spans="14:25" ht="15" customHeight="1" x14ac:dyDescent="0.25">
      <c r="N7073" s="44"/>
      <c r="O7073" s="44"/>
      <c r="P7073" s="44"/>
      <c r="Q7073" s="44"/>
      <c r="R7073" s="44"/>
      <c r="S7073" s="44"/>
      <c r="T7073" s="44"/>
      <c r="U7073" s="44"/>
      <c r="V7073" s="44"/>
      <c r="W7073" s="44"/>
      <c r="X7073" s="44"/>
      <c r="Y7073" s="44"/>
    </row>
    <row r="7074" spans="14:25" ht="15" customHeight="1" x14ac:dyDescent="0.25">
      <c r="N7074" s="44"/>
      <c r="O7074" s="44"/>
      <c r="P7074" s="44"/>
      <c r="Q7074" s="44"/>
      <c r="R7074" s="44"/>
      <c r="S7074" s="44"/>
      <c r="T7074" s="44"/>
      <c r="U7074" s="44"/>
      <c r="V7074" s="44"/>
      <c r="W7074" s="44"/>
      <c r="X7074" s="44"/>
      <c r="Y7074" s="44"/>
    </row>
    <row r="7075" spans="14:25" ht="15" customHeight="1" x14ac:dyDescent="0.25">
      <c r="N7075" s="44"/>
      <c r="O7075" s="44"/>
      <c r="P7075" s="44"/>
      <c r="Q7075" s="44"/>
      <c r="R7075" s="44"/>
      <c r="S7075" s="44"/>
      <c r="T7075" s="44"/>
      <c r="U7075" s="44"/>
      <c r="V7075" s="44"/>
      <c r="W7075" s="44"/>
      <c r="X7075" s="44"/>
      <c r="Y7075" s="44"/>
    </row>
    <row r="7076" spans="14:25" ht="15" customHeight="1" x14ac:dyDescent="0.25">
      <c r="N7076" s="44"/>
      <c r="O7076" s="44"/>
      <c r="P7076" s="44"/>
      <c r="Q7076" s="44"/>
      <c r="R7076" s="44"/>
      <c r="S7076" s="44"/>
      <c r="T7076" s="44"/>
      <c r="U7076" s="44"/>
      <c r="V7076" s="44"/>
      <c r="W7076" s="44"/>
      <c r="X7076" s="44"/>
      <c r="Y7076" s="44"/>
    </row>
    <row r="7077" spans="14:25" ht="15" customHeight="1" x14ac:dyDescent="0.25">
      <c r="N7077" s="44"/>
      <c r="O7077" s="44"/>
      <c r="P7077" s="44"/>
      <c r="Q7077" s="44"/>
      <c r="R7077" s="44"/>
      <c r="S7077" s="44"/>
      <c r="T7077" s="44"/>
      <c r="U7077" s="44"/>
      <c r="V7077" s="44"/>
      <c r="W7077" s="44"/>
      <c r="X7077" s="44"/>
      <c r="Y7077" s="44"/>
    </row>
    <row r="7078" spans="14:25" ht="15" customHeight="1" x14ac:dyDescent="0.25">
      <c r="N7078" s="44"/>
      <c r="O7078" s="44"/>
      <c r="P7078" s="44"/>
      <c r="Q7078" s="44"/>
      <c r="R7078" s="44"/>
      <c r="S7078" s="44"/>
      <c r="T7078" s="44"/>
      <c r="U7078" s="44"/>
      <c r="V7078" s="44"/>
      <c r="W7078" s="44"/>
      <c r="X7078" s="44"/>
      <c r="Y7078" s="44"/>
    </row>
    <row r="7079" spans="14:25" ht="15" customHeight="1" x14ac:dyDescent="0.25">
      <c r="N7079" s="44"/>
      <c r="O7079" s="44"/>
      <c r="P7079" s="44"/>
      <c r="Q7079" s="44"/>
      <c r="R7079" s="44"/>
      <c r="S7079" s="44"/>
      <c r="T7079" s="44"/>
      <c r="U7079" s="44"/>
      <c r="V7079" s="44"/>
      <c r="W7079" s="44"/>
      <c r="X7079" s="44"/>
      <c r="Y7079" s="44"/>
    </row>
    <row r="7080" spans="14:25" ht="15" customHeight="1" x14ac:dyDescent="0.25">
      <c r="N7080" s="44"/>
      <c r="O7080" s="44"/>
      <c r="P7080" s="44"/>
      <c r="Q7080" s="44"/>
      <c r="R7080" s="44"/>
      <c r="S7080" s="44"/>
      <c r="T7080" s="44"/>
      <c r="U7080" s="44"/>
      <c r="V7080" s="44"/>
      <c r="W7080" s="44"/>
      <c r="X7080" s="44"/>
      <c r="Y7080" s="44"/>
    </row>
    <row r="7081" spans="14:25" ht="15" customHeight="1" x14ac:dyDescent="0.25">
      <c r="N7081" s="44"/>
      <c r="O7081" s="44"/>
      <c r="P7081" s="44"/>
      <c r="Q7081" s="44"/>
      <c r="R7081" s="44"/>
      <c r="S7081" s="44"/>
      <c r="T7081" s="44"/>
      <c r="U7081" s="44"/>
      <c r="V7081" s="44"/>
      <c r="W7081" s="44"/>
      <c r="X7081" s="44"/>
      <c r="Y7081" s="44"/>
    </row>
    <row r="7082" spans="14:25" ht="15" customHeight="1" x14ac:dyDescent="0.25">
      <c r="N7082" s="44"/>
      <c r="O7082" s="44"/>
      <c r="P7082" s="44"/>
      <c r="Q7082" s="44"/>
      <c r="R7082" s="44"/>
      <c r="S7082" s="44"/>
      <c r="T7082" s="44"/>
      <c r="U7082" s="44"/>
      <c r="V7082" s="44"/>
      <c r="W7082" s="44"/>
      <c r="X7082" s="44"/>
      <c r="Y7082" s="44"/>
    </row>
    <row r="7083" spans="14:25" ht="15" customHeight="1" x14ac:dyDescent="0.25">
      <c r="N7083" s="44"/>
      <c r="O7083" s="44"/>
      <c r="P7083" s="44"/>
      <c r="Q7083" s="44"/>
      <c r="R7083" s="44"/>
      <c r="S7083" s="44"/>
      <c r="T7083" s="44"/>
      <c r="U7083" s="44"/>
      <c r="V7083" s="44"/>
      <c r="W7083" s="44"/>
      <c r="X7083" s="44"/>
      <c r="Y7083" s="44"/>
    </row>
    <row r="7084" spans="14:25" ht="15" customHeight="1" x14ac:dyDescent="0.25">
      <c r="N7084" s="44"/>
      <c r="O7084" s="44"/>
      <c r="P7084" s="44"/>
      <c r="Q7084" s="44"/>
      <c r="R7084" s="44"/>
      <c r="S7084" s="44"/>
      <c r="T7084" s="44"/>
      <c r="U7084" s="44"/>
      <c r="V7084" s="44"/>
      <c r="W7084" s="44"/>
      <c r="X7084" s="44"/>
      <c r="Y7084" s="44"/>
    </row>
    <row r="7085" spans="14:25" ht="15" customHeight="1" x14ac:dyDescent="0.25">
      <c r="N7085" s="44"/>
      <c r="O7085" s="44"/>
      <c r="P7085" s="44"/>
      <c r="Q7085" s="44"/>
      <c r="R7085" s="44"/>
      <c r="S7085" s="44"/>
      <c r="T7085" s="44"/>
      <c r="U7085" s="44"/>
      <c r="V7085" s="44"/>
      <c r="W7085" s="44"/>
      <c r="X7085" s="44"/>
      <c r="Y7085" s="44"/>
    </row>
    <row r="7086" spans="14:25" ht="15" customHeight="1" x14ac:dyDescent="0.25">
      <c r="N7086" s="44"/>
      <c r="O7086" s="44"/>
      <c r="P7086" s="44"/>
      <c r="Q7086" s="44"/>
      <c r="R7086" s="44"/>
      <c r="S7086" s="44"/>
      <c r="T7086" s="44"/>
      <c r="U7086" s="44"/>
      <c r="V7086" s="44"/>
      <c r="W7086" s="44"/>
      <c r="X7086" s="44"/>
      <c r="Y7086" s="44"/>
    </row>
    <row r="7087" spans="14:25" ht="15" customHeight="1" x14ac:dyDescent="0.25">
      <c r="N7087" s="44"/>
      <c r="O7087" s="44"/>
      <c r="P7087" s="44"/>
      <c r="Q7087" s="44"/>
      <c r="R7087" s="44"/>
      <c r="S7087" s="44"/>
      <c r="T7087" s="44"/>
      <c r="U7087" s="44"/>
      <c r="V7087" s="44"/>
      <c r="W7087" s="44"/>
      <c r="X7087" s="44"/>
      <c r="Y7087" s="44"/>
    </row>
    <row r="7088" spans="14:25" ht="15" customHeight="1" x14ac:dyDescent="0.25">
      <c r="N7088" s="44"/>
      <c r="O7088" s="44"/>
      <c r="P7088" s="44"/>
      <c r="Q7088" s="44"/>
      <c r="R7088" s="44"/>
      <c r="S7088" s="44"/>
      <c r="T7088" s="44"/>
      <c r="U7088" s="44"/>
      <c r="V7088" s="44"/>
      <c r="W7088" s="44"/>
      <c r="X7088" s="44"/>
      <c r="Y7088" s="44"/>
    </row>
    <row r="7089" spans="14:25" ht="15" customHeight="1" x14ac:dyDescent="0.25">
      <c r="N7089" s="44"/>
      <c r="O7089" s="44"/>
      <c r="P7089" s="44"/>
      <c r="Q7089" s="44"/>
      <c r="R7089" s="44"/>
      <c r="S7089" s="44"/>
      <c r="T7089" s="44"/>
      <c r="U7089" s="44"/>
      <c r="V7089" s="44"/>
      <c r="W7089" s="44"/>
      <c r="X7089" s="44"/>
      <c r="Y7089" s="44"/>
    </row>
    <row r="7090" spans="14:25" ht="15" customHeight="1" x14ac:dyDescent="0.25">
      <c r="N7090" s="44"/>
      <c r="O7090" s="44"/>
      <c r="P7090" s="44"/>
      <c r="Q7090" s="44"/>
      <c r="R7090" s="44"/>
      <c r="S7090" s="44"/>
      <c r="T7090" s="44"/>
      <c r="U7090" s="44"/>
      <c r="V7090" s="44"/>
      <c r="W7090" s="44"/>
      <c r="X7090" s="44"/>
      <c r="Y7090" s="44"/>
    </row>
    <row r="7091" spans="14:25" ht="15" customHeight="1" x14ac:dyDescent="0.25">
      <c r="N7091" s="44"/>
      <c r="O7091" s="44"/>
      <c r="P7091" s="44"/>
      <c r="Q7091" s="44"/>
      <c r="R7091" s="44"/>
      <c r="S7091" s="44"/>
      <c r="T7091" s="44"/>
      <c r="U7091" s="44"/>
      <c r="V7091" s="44"/>
      <c r="W7091" s="44"/>
      <c r="X7091" s="44"/>
      <c r="Y7091" s="44"/>
    </row>
    <row r="7092" spans="14:25" ht="15" customHeight="1" x14ac:dyDescent="0.25">
      <c r="N7092" s="44"/>
      <c r="O7092" s="44"/>
      <c r="P7092" s="44"/>
      <c r="Q7092" s="44"/>
      <c r="R7092" s="44"/>
      <c r="S7092" s="44"/>
      <c r="T7092" s="44"/>
      <c r="U7092" s="44"/>
      <c r="V7092" s="44"/>
      <c r="W7092" s="44"/>
      <c r="X7092" s="44"/>
      <c r="Y7092" s="44"/>
    </row>
    <row r="7093" spans="14:25" ht="15" customHeight="1" x14ac:dyDescent="0.25">
      <c r="N7093" s="44"/>
      <c r="O7093" s="44"/>
      <c r="P7093" s="44"/>
      <c r="Q7093" s="44"/>
      <c r="R7093" s="44"/>
      <c r="S7093" s="44"/>
      <c r="T7093" s="44"/>
      <c r="U7093" s="44"/>
      <c r="V7093" s="44"/>
      <c r="W7093" s="44"/>
      <c r="X7093" s="44"/>
      <c r="Y7093" s="44"/>
    </row>
    <row r="7094" spans="14:25" ht="15" customHeight="1" x14ac:dyDescent="0.25">
      <c r="N7094" s="44"/>
      <c r="O7094" s="44"/>
      <c r="P7094" s="44"/>
      <c r="Q7094" s="44"/>
      <c r="R7094" s="44"/>
      <c r="S7094" s="44"/>
      <c r="T7094" s="44"/>
      <c r="U7094" s="44"/>
      <c r="V7094" s="44"/>
      <c r="W7094" s="44"/>
      <c r="X7094" s="44"/>
      <c r="Y7094" s="44"/>
    </row>
    <row r="7095" spans="14:25" ht="15" customHeight="1" x14ac:dyDescent="0.25">
      <c r="N7095" s="44"/>
      <c r="O7095" s="44"/>
      <c r="P7095" s="44"/>
      <c r="Q7095" s="44"/>
      <c r="R7095" s="44"/>
      <c r="S7095" s="44"/>
      <c r="T7095" s="44"/>
      <c r="U7095" s="44"/>
      <c r="V7095" s="44"/>
      <c r="W7095" s="44"/>
      <c r="X7095" s="44"/>
      <c r="Y7095" s="44"/>
    </row>
    <row r="7096" spans="14:25" ht="15" customHeight="1" x14ac:dyDescent="0.25">
      <c r="N7096" s="44"/>
      <c r="O7096" s="44"/>
      <c r="P7096" s="44"/>
      <c r="Q7096" s="44"/>
      <c r="R7096" s="44"/>
      <c r="S7096" s="44"/>
      <c r="T7096" s="44"/>
      <c r="U7096" s="44"/>
      <c r="V7096" s="44"/>
      <c r="W7096" s="44"/>
      <c r="X7096" s="44"/>
      <c r="Y7096" s="44"/>
    </row>
    <row r="7097" spans="14:25" ht="15" customHeight="1" x14ac:dyDescent="0.25">
      <c r="N7097" s="44"/>
      <c r="O7097" s="44"/>
      <c r="P7097" s="44"/>
      <c r="Q7097" s="44"/>
      <c r="R7097" s="44"/>
      <c r="S7097" s="44"/>
      <c r="T7097" s="44"/>
      <c r="U7097" s="44"/>
      <c r="V7097" s="44"/>
      <c r="W7097" s="44"/>
      <c r="X7097" s="44"/>
      <c r="Y7097" s="44"/>
    </row>
    <row r="7098" spans="14:25" ht="15" customHeight="1" x14ac:dyDescent="0.25">
      <c r="N7098" s="44"/>
      <c r="O7098" s="44"/>
      <c r="P7098" s="44"/>
      <c r="Q7098" s="44"/>
      <c r="R7098" s="44"/>
      <c r="S7098" s="44"/>
      <c r="T7098" s="44"/>
      <c r="U7098" s="44"/>
      <c r="V7098" s="44"/>
      <c r="W7098" s="44"/>
      <c r="X7098" s="44"/>
      <c r="Y7098" s="44"/>
    </row>
    <row r="7099" spans="14:25" ht="15" customHeight="1" x14ac:dyDescent="0.25">
      <c r="N7099" s="44"/>
      <c r="O7099" s="44"/>
      <c r="P7099" s="44"/>
      <c r="Q7099" s="44"/>
      <c r="R7099" s="44"/>
      <c r="S7099" s="44"/>
      <c r="T7099" s="44"/>
      <c r="U7099" s="44"/>
      <c r="V7099" s="44"/>
      <c r="W7099" s="44"/>
      <c r="X7099" s="44"/>
      <c r="Y7099" s="44"/>
    </row>
    <row r="7100" spans="14:25" ht="15" customHeight="1" x14ac:dyDescent="0.25">
      <c r="N7100" s="44"/>
      <c r="O7100" s="44"/>
      <c r="P7100" s="44"/>
      <c r="Q7100" s="44"/>
      <c r="R7100" s="44"/>
      <c r="S7100" s="44"/>
      <c r="T7100" s="44"/>
      <c r="U7100" s="44"/>
      <c r="V7100" s="44"/>
      <c r="W7100" s="44"/>
      <c r="X7100" s="44"/>
      <c r="Y7100" s="44"/>
    </row>
    <row r="7101" spans="14:25" ht="15" customHeight="1" x14ac:dyDescent="0.25">
      <c r="N7101" s="44"/>
      <c r="O7101" s="44"/>
      <c r="P7101" s="44"/>
      <c r="Q7101" s="44"/>
      <c r="R7101" s="44"/>
      <c r="S7101" s="44"/>
      <c r="T7101" s="44"/>
      <c r="U7101" s="44"/>
      <c r="V7101" s="44"/>
      <c r="W7101" s="44"/>
      <c r="X7101" s="44"/>
      <c r="Y7101" s="44"/>
    </row>
    <row r="7102" spans="14:25" ht="15" customHeight="1" x14ac:dyDescent="0.25">
      <c r="N7102" s="44"/>
      <c r="O7102" s="44"/>
      <c r="P7102" s="44"/>
      <c r="Q7102" s="44"/>
      <c r="R7102" s="44"/>
      <c r="S7102" s="44"/>
      <c r="T7102" s="44"/>
      <c r="U7102" s="44"/>
      <c r="V7102" s="44"/>
      <c r="W7102" s="44"/>
      <c r="X7102" s="44"/>
      <c r="Y7102" s="44"/>
    </row>
    <row r="7103" spans="14:25" ht="15" customHeight="1" x14ac:dyDescent="0.25">
      <c r="N7103" s="44"/>
      <c r="O7103" s="44"/>
      <c r="P7103" s="44"/>
      <c r="Q7103" s="44"/>
      <c r="R7103" s="44"/>
      <c r="S7103" s="44"/>
      <c r="T7103" s="44"/>
      <c r="U7103" s="44"/>
      <c r="V7103" s="44"/>
      <c r="W7103" s="44"/>
      <c r="X7103" s="44"/>
      <c r="Y7103" s="44"/>
    </row>
    <row r="7104" spans="14:25" ht="15" customHeight="1" x14ac:dyDescent="0.25">
      <c r="N7104" s="44"/>
      <c r="O7104" s="44"/>
      <c r="P7104" s="44"/>
      <c r="Q7104" s="44"/>
      <c r="R7104" s="44"/>
      <c r="S7104" s="44"/>
      <c r="T7104" s="44"/>
      <c r="U7104" s="44"/>
      <c r="V7104" s="44"/>
      <c r="W7104" s="44"/>
      <c r="X7104" s="44"/>
      <c r="Y7104" s="44"/>
    </row>
    <row r="7105" spans="14:25" ht="15" customHeight="1" x14ac:dyDescent="0.25">
      <c r="N7105" s="44"/>
      <c r="O7105" s="44"/>
      <c r="P7105" s="44"/>
      <c r="Q7105" s="44"/>
      <c r="R7105" s="44"/>
      <c r="S7105" s="44"/>
      <c r="T7105" s="44"/>
      <c r="U7105" s="44"/>
      <c r="V7105" s="44"/>
      <c r="W7105" s="44"/>
      <c r="X7105" s="44"/>
      <c r="Y7105" s="44"/>
    </row>
    <row r="7106" spans="14:25" ht="15" customHeight="1" x14ac:dyDescent="0.25">
      <c r="N7106" s="44"/>
      <c r="O7106" s="44"/>
      <c r="P7106" s="44"/>
      <c r="Q7106" s="44"/>
      <c r="R7106" s="44"/>
      <c r="S7106" s="44"/>
      <c r="T7106" s="44"/>
      <c r="U7106" s="44"/>
      <c r="V7106" s="44"/>
      <c r="W7106" s="44"/>
      <c r="X7106" s="44"/>
      <c r="Y7106" s="44"/>
    </row>
    <row r="7107" spans="14:25" ht="15" customHeight="1" x14ac:dyDescent="0.25">
      <c r="N7107" s="44"/>
      <c r="O7107" s="44"/>
      <c r="P7107" s="44"/>
      <c r="Q7107" s="44"/>
      <c r="R7107" s="44"/>
      <c r="S7107" s="44"/>
      <c r="T7107" s="44"/>
      <c r="U7107" s="44"/>
      <c r="V7107" s="44"/>
      <c r="W7107" s="44"/>
      <c r="X7107" s="44"/>
      <c r="Y7107" s="44"/>
    </row>
    <row r="7108" spans="14:25" ht="15" customHeight="1" x14ac:dyDescent="0.25">
      <c r="N7108" s="44"/>
      <c r="O7108" s="44"/>
      <c r="P7108" s="44"/>
      <c r="Q7108" s="44"/>
      <c r="R7108" s="44"/>
      <c r="S7108" s="44"/>
      <c r="T7108" s="44"/>
      <c r="U7108" s="44"/>
      <c r="V7108" s="44"/>
      <c r="W7108" s="44"/>
      <c r="X7108" s="44"/>
      <c r="Y7108" s="44"/>
    </row>
    <row r="7109" spans="14:25" ht="15" customHeight="1" x14ac:dyDescent="0.25">
      <c r="N7109" s="44"/>
      <c r="O7109" s="44"/>
      <c r="P7109" s="44"/>
      <c r="Q7109" s="44"/>
      <c r="R7109" s="44"/>
      <c r="S7109" s="44"/>
      <c r="T7109" s="44"/>
      <c r="U7109" s="44"/>
      <c r="V7109" s="44"/>
      <c r="W7109" s="44"/>
      <c r="X7109" s="44"/>
      <c r="Y7109" s="44"/>
    </row>
    <row r="7110" spans="14:25" ht="15" customHeight="1" x14ac:dyDescent="0.25">
      <c r="N7110" s="44"/>
      <c r="O7110" s="44"/>
      <c r="P7110" s="44"/>
      <c r="Q7110" s="44"/>
      <c r="R7110" s="44"/>
      <c r="S7110" s="44"/>
      <c r="T7110" s="44"/>
      <c r="U7110" s="44"/>
      <c r="V7110" s="44"/>
      <c r="W7110" s="44"/>
      <c r="X7110" s="44"/>
      <c r="Y7110" s="44"/>
    </row>
    <row r="7111" spans="14:25" ht="15" customHeight="1" x14ac:dyDescent="0.25">
      <c r="N7111" s="44"/>
      <c r="O7111" s="44"/>
      <c r="P7111" s="44"/>
      <c r="Q7111" s="44"/>
      <c r="R7111" s="44"/>
      <c r="S7111" s="44"/>
      <c r="T7111" s="44"/>
      <c r="U7111" s="44"/>
      <c r="V7111" s="44"/>
      <c r="W7111" s="44"/>
      <c r="X7111" s="44"/>
      <c r="Y7111" s="44"/>
    </row>
    <row r="7112" spans="14:25" ht="15" customHeight="1" x14ac:dyDescent="0.25">
      <c r="N7112" s="44"/>
      <c r="O7112" s="44"/>
      <c r="P7112" s="44"/>
      <c r="Q7112" s="44"/>
      <c r="R7112" s="44"/>
      <c r="S7112" s="44"/>
      <c r="T7112" s="44"/>
      <c r="U7112" s="44"/>
      <c r="V7112" s="44"/>
      <c r="W7112" s="44"/>
      <c r="X7112" s="44"/>
      <c r="Y7112" s="44"/>
    </row>
    <row r="7113" spans="14:25" ht="15" customHeight="1" x14ac:dyDescent="0.25">
      <c r="N7113" s="44"/>
      <c r="O7113" s="44"/>
      <c r="P7113" s="44"/>
      <c r="Q7113" s="44"/>
      <c r="R7113" s="44"/>
      <c r="S7113" s="44"/>
      <c r="T7113" s="44"/>
      <c r="U7113" s="44"/>
      <c r="V7113" s="44"/>
      <c r="W7113" s="44"/>
      <c r="X7113" s="44"/>
      <c r="Y7113" s="44"/>
    </row>
    <row r="7114" spans="14:25" ht="15" customHeight="1" x14ac:dyDescent="0.25">
      <c r="N7114" s="44"/>
      <c r="O7114" s="44"/>
      <c r="P7114" s="44"/>
      <c r="Q7114" s="44"/>
      <c r="R7114" s="44"/>
      <c r="S7114" s="44"/>
      <c r="T7114" s="44"/>
      <c r="U7114" s="44"/>
      <c r="V7114" s="44"/>
      <c r="W7114" s="44"/>
      <c r="X7114" s="44"/>
      <c r="Y7114" s="44"/>
    </row>
    <row r="7115" spans="14:25" ht="15" customHeight="1" x14ac:dyDescent="0.25">
      <c r="N7115" s="44"/>
      <c r="O7115" s="44"/>
      <c r="P7115" s="44"/>
      <c r="Q7115" s="44"/>
      <c r="R7115" s="44"/>
      <c r="S7115" s="44"/>
      <c r="T7115" s="44"/>
      <c r="U7115" s="44"/>
      <c r="V7115" s="44"/>
      <c r="W7115" s="44"/>
      <c r="X7115" s="44"/>
      <c r="Y7115" s="44"/>
    </row>
    <row r="7116" spans="14:25" ht="15" customHeight="1" x14ac:dyDescent="0.25">
      <c r="N7116" s="44"/>
      <c r="O7116" s="44"/>
      <c r="P7116" s="44"/>
      <c r="Q7116" s="44"/>
      <c r="R7116" s="44"/>
      <c r="S7116" s="44"/>
      <c r="T7116" s="44"/>
      <c r="U7116" s="44"/>
      <c r="V7116" s="44"/>
      <c r="W7116" s="44"/>
      <c r="X7116" s="44"/>
      <c r="Y7116" s="44"/>
    </row>
    <row r="7117" spans="14:25" ht="15" customHeight="1" x14ac:dyDescent="0.25">
      <c r="N7117" s="44"/>
      <c r="O7117" s="44"/>
      <c r="P7117" s="44"/>
      <c r="Q7117" s="44"/>
      <c r="R7117" s="44"/>
      <c r="S7117" s="44"/>
      <c r="T7117" s="44"/>
      <c r="U7117" s="44"/>
      <c r="V7117" s="44"/>
      <c r="W7117" s="44"/>
      <c r="X7117" s="44"/>
      <c r="Y7117" s="44"/>
    </row>
    <row r="7118" spans="14:25" ht="15" customHeight="1" x14ac:dyDescent="0.25">
      <c r="N7118" s="44"/>
      <c r="O7118" s="44"/>
      <c r="P7118" s="44"/>
      <c r="Q7118" s="44"/>
      <c r="R7118" s="44"/>
      <c r="S7118" s="44"/>
      <c r="T7118" s="44"/>
      <c r="U7118" s="44"/>
      <c r="V7118" s="44"/>
      <c r="W7118" s="44"/>
      <c r="X7118" s="44"/>
      <c r="Y7118" s="44"/>
    </row>
    <row r="7119" spans="14:25" ht="15" customHeight="1" x14ac:dyDescent="0.25">
      <c r="N7119" s="44"/>
      <c r="O7119" s="44"/>
      <c r="P7119" s="44"/>
      <c r="Q7119" s="44"/>
      <c r="R7119" s="44"/>
      <c r="S7119" s="44"/>
      <c r="T7119" s="44"/>
      <c r="U7119" s="44"/>
      <c r="V7119" s="44"/>
      <c r="W7119" s="44"/>
      <c r="X7119" s="44"/>
      <c r="Y7119" s="44"/>
    </row>
    <row r="7120" spans="14:25" ht="15" customHeight="1" x14ac:dyDescent="0.25">
      <c r="N7120" s="44"/>
      <c r="O7120" s="44"/>
      <c r="P7120" s="44"/>
      <c r="Q7120" s="44"/>
      <c r="R7120" s="44"/>
      <c r="S7120" s="44"/>
      <c r="T7120" s="44"/>
      <c r="U7120" s="44"/>
      <c r="V7120" s="44"/>
      <c r="W7120" s="44"/>
      <c r="X7120" s="44"/>
      <c r="Y7120" s="44"/>
    </row>
    <row r="7121" spans="14:25" ht="15" customHeight="1" x14ac:dyDescent="0.25">
      <c r="N7121" s="44"/>
      <c r="O7121" s="44"/>
      <c r="P7121" s="44"/>
      <c r="Q7121" s="44"/>
      <c r="R7121" s="44"/>
      <c r="S7121" s="44"/>
      <c r="T7121" s="44"/>
      <c r="U7121" s="44"/>
      <c r="V7121" s="44"/>
      <c r="W7121" s="44"/>
      <c r="X7121" s="44"/>
      <c r="Y7121" s="44"/>
    </row>
    <row r="7122" spans="14:25" ht="15" customHeight="1" x14ac:dyDescent="0.25">
      <c r="N7122" s="44"/>
      <c r="O7122" s="44"/>
      <c r="P7122" s="44"/>
      <c r="Q7122" s="44"/>
      <c r="R7122" s="44"/>
      <c r="S7122" s="44"/>
      <c r="T7122" s="44"/>
      <c r="U7122" s="44"/>
      <c r="V7122" s="44"/>
      <c r="W7122" s="44"/>
      <c r="X7122" s="44"/>
      <c r="Y7122" s="44"/>
    </row>
    <row r="7123" spans="14:25" ht="15" customHeight="1" x14ac:dyDescent="0.25">
      <c r="N7123" s="44"/>
      <c r="O7123" s="44"/>
      <c r="P7123" s="44"/>
      <c r="Q7123" s="44"/>
      <c r="R7123" s="44"/>
      <c r="S7123" s="44"/>
      <c r="T7123" s="44"/>
      <c r="U7123" s="44"/>
      <c r="V7123" s="44"/>
      <c r="W7123" s="44"/>
      <c r="X7123" s="44"/>
      <c r="Y7123" s="44"/>
    </row>
    <row r="7124" spans="14:25" ht="15" customHeight="1" x14ac:dyDescent="0.25">
      <c r="N7124" s="44"/>
      <c r="O7124" s="44"/>
      <c r="P7124" s="44"/>
      <c r="Q7124" s="44"/>
      <c r="R7124" s="44"/>
      <c r="S7124" s="44"/>
      <c r="T7124" s="44"/>
      <c r="U7124" s="44"/>
      <c r="V7124" s="44"/>
      <c r="W7124" s="44"/>
      <c r="X7124" s="44"/>
      <c r="Y7124" s="44"/>
    </row>
    <row r="7125" spans="14:25" ht="15" customHeight="1" x14ac:dyDescent="0.25">
      <c r="N7125" s="44"/>
      <c r="O7125" s="44"/>
      <c r="P7125" s="44"/>
      <c r="Q7125" s="44"/>
      <c r="R7125" s="44"/>
      <c r="S7125" s="44"/>
      <c r="T7125" s="44"/>
      <c r="U7125" s="44"/>
      <c r="V7125" s="44"/>
      <c r="W7125" s="44"/>
      <c r="X7125" s="44"/>
      <c r="Y7125" s="44"/>
    </row>
    <row r="7126" spans="14:25" ht="15" customHeight="1" x14ac:dyDescent="0.25">
      <c r="N7126" s="44"/>
      <c r="O7126" s="44"/>
      <c r="P7126" s="44"/>
      <c r="Q7126" s="44"/>
      <c r="R7126" s="44"/>
      <c r="S7126" s="44"/>
      <c r="T7126" s="44"/>
      <c r="U7126" s="44"/>
      <c r="V7126" s="44"/>
      <c r="W7126" s="44"/>
      <c r="X7126" s="44"/>
      <c r="Y7126" s="44"/>
    </row>
    <row r="7127" spans="14:25" ht="15" customHeight="1" x14ac:dyDescent="0.25">
      <c r="N7127" s="44"/>
      <c r="O7127" s="44"/>
      <c r="P7127" s="44"/>
      <c r="Q7127" s="44"/>
      <c r="R7127" s="44"/>
      <c r="S7127" s="44"/>
      <c r="T7127" s="44"/>
      <c r="U7127" s="44"/>
      <c r="V7127" s="44"/>
      <c r="W7127" s="44"/>
      <c r="X7127" s="44"/>
      <c r="Y7127" s="44"/>
    </row>
    <row r="7128" spans="14:25" ht="15" customHeight="1" x14ac:dyDescent="0.25">
      <c r="N7128" s="44"/>
      <c r="O7128" s="44"/>
      <c r="P7128" s="44"/>
      <c r="Q7128" s="44"/>
      <c r="R7128" s="44"/>
      <c r="S7128" s="44"/>
      <c r="T7128" s="44"/>
      <c r="U7128" s="44"/>
      <c r="V7128" s="44"/>
      <c r="W7128" s="44"/>
      <c r="X7128" s="44"/>
      <c r="Y7128" s="44"/>
    </row>
    <row r="7129" spans="14:25" ht="15" customHeight="1" x14ac:dyDescent="0.25">
      <c r="N7129" s="44"/>
      <c r="O7129" s="44"/>
      <c r="P7129" s="44"/>
      <c r="Q7129" s="44"/>
      <c r="R7129" s="44"/>
      <c r="S7129" s="44"/>
      <c r="T7129" s="44"/>
      <c r="U7129" s="44"/>
      <c r="V7129" s="44"/>
      <c r="W7129" s="44"/>
      <c r="X7129" s="44"/>
      <c r="Y7129" s="44"/>
    </row>
    <row r="7130" spans="14:25" ht="15" customHeight="1" x14ac:dyDescent="0.25">
      <c r="N7130" s="44"/>
      <c r="O7130" s="44"/>
      <c r="P7130" s="44"/>
      <c r="Q7130" s="44"/>
      <c r="R7130" s="44"/>
      <c r="S7130" s="44"/>
      <c r="T7130" s="44"/>
      <c r="U7130" s="44"/>
      <c r="V7130" s="44"/>
      <c r="W7130" s="44"/>
      <c r="X7130" s="44"/>
      <c r="Y7130" s="44"/>
    </row>
    <row r="7131" spans="14:25" ht="15" customHeight="1" x14ac:dyDescent="0.25">
      <c r="N7131" s="44"/>
      <c r="O7131" s="44"/>
      <c r="P7131" s="44"/>
      <c r="Q7131" s="44"/>
      <c r="R7131" s="44"/>
      <c r="S7131" s="44"/>
      <c r="T7131" s="44"/>
      <c r="U7131" s="44"/>
      <c r="V7131" s="44"/>
      <c r="W7131" s="44"/>
      <c r="X7131" s="44"/>
      <c r="Y7131" s="44"/>
    </row>
    <row r="7132" spans="14:25" ht="15" customHeight="1" x14ac:dyDescent="0.25">
      <c r="N7132" s="44"/>
      <c r="O7132" s="44"/>
      <c r="P7132" s="44"/>
      <c r="Q7132" s="44"/>
      <c r="R7132" s="44"/>
      <c r="S7132" s="44"/>
      <c r="T7132" s="44"/>
      <c r="U7132" s="44"/>
      <c r="V7132" s="44"/>
      <c r="W7132" s="44"/>
      <c r="X7132" s="44"/>
      <c r="Y7132" s="44"/>
    </row>
    <row r="7133" spans="14:25" ht="15" customHeight="1" x14ac:dyDescent="0.25">
      <c r="N7133" s="44"/>
      <c r="O7133" s="44"/>
      <c r="P7133" s="44"/>
      <c r="Q7133" s="44"/>
      <c r="R7133" s="44"/>
      <c r="S7133" s="44"/>
      <c r="T7133" s="44"/>
      <c r="U7133" s="44"/>
      <c r="V7133" s="44"/>
      <c r="W7133" s="44"/>
      <c r="X7133" s="44"/>
      <c r="Y7133" s="44"/>
    </row>
    <row r="7134" spans="14:25" ht="15" customHeight="1" x14ac:dyDescent="0.25">
      <c r="N7134" s="44"/>
      <c r="O7134" s="44"/>
      <c r="P7134" s="44"/>
      <c r="Q7134" s="44"/>
      <c r="R7134" s="44"/>
      <c r="S7134" s="44"/>
      <c r="T7134" s="44"/>
      <c r="U7134" s="44"/>
      <c r="V7134" s="44"/>
      <c r="W7134" s="44"/>
      <c r="X7134" s="44"/>
      <c r="Y7134" s="44"/>
    </row>
    <row r="7135" spans="14:25" ht="15" customHeight="1" x14ac:dyDescent="0.25">
      <c r="N7135" s="44"/>
      <c r="O7135" s="44"/>
      <c r="P7135" s="44"/>
      <c r="Q7135" s="44"/>
      <c r="R7135" s="44"/>
      <c r="S7135" s="44"/>
      <c r="T7135" s="44"/>
      <c r="U7135" s="44"/>
      <c r="V7135" s="44"/>
      <c r="W7135" s="44"/>
      <c r="X7135" s="44"/>
      <c r="Y7135" s="44"/>
    </row>
    <row r="7136" spans="14:25" ht="15" customHeight="1" x14ac:dyDescent="0.25">
      <c r="N7136" s="44"/>
      <c r="O7136" s="44"/>
      <c r="P7136" s="44"/>
      <c r="Q7136" s="44"/>
      <c r="R7136" s="44"/>
      <c r="S7136" s="44"/>
      <c r="T7136" s="44"/>
      <c r="U7136" s="44"/>
      <c r="V7136" s="44"/>
      <c r="W7136" s="44"/>
      <c r="X7136" s="44"/>
      <c r="Y7136" s="44"/>
    </row>
    <row r="7137" spans="14:25" ht="15" customHeight="1" x14ac:dyDescent="0.25">
      <c r="N7137" s="44"/>
      <c r="O7137" s="44"/>
      <c r="P7137" s="44"/>
      <c r="Q7137" s="44"/>
      <c r="R7137" s="44"/>
      <c r="S7137" s="44"/>
      <c r="T7137" s="44"/>
      <c r="U7137" s="44"/>
      <c r="V7137" s="44"/>
      <c r="W7137" s="44"/>
      <c r="X7137" s="44"/>
      <c r="Y7137" s="44"/>
    </row>
    <row r="7138" spans="14:25" ht="15" customHeight="1" x14ac:dyDescent="0.25">
      <c r="N7138" s="44"/>
      <c r="O7138" s="44"/>
      <c r="P7138" s="44"/>
      <c r="Q7138" s="44"/>
      <c r="R7138" s="44"/>
      <c r="S7138" s="44"/>
      <c r="T7138" s="44"/>
      <c r="U7138" s="44"/>
      <c r="V7138" s="44"/>
      <c r="W7138" s="44"/>
      <c r="X7138" s="44"/>
      <c r="Y7138" s="44"/>
    </row>
    <row r="7139" spans="14:25" ht="15" customHeight="1" x14ac:dyDescent="0.25">
      <c r="N7139" s="44"/>
      <c r="O7139" s="44"/>
      <c r="P7139" s="44"/>
      <c r="Q7139" s="44"/>
      <c r="R7139" s="44"/>
      <c r="S7139" s="44"/>
      <c r="T7139" s="44"/>
      <c r="U7139" s="44"/>
      <c r="V7139" s="44"/>
      <c r="W7139" s="44"/>
      <c r="X7139" s="44"/>
      <c r="Y7139" s="44"/>
    </row>
    <row r="7140" spans="14:25" ht="15" customHeight="1" x14ac:dyDescent="0.25">
      <c r="N7140" s="44"/>
      <c r="O7140" s="44"/>
      <c r="P7140" s="44"/>
      <c r="Q7140" s="44"/>
      <c r="R7140" s="44"/>
      <c r="S7140" s="44"/>
      <c r="T7140" s="44"/>
      <c r="U7140" s="44"/>
      <c r="V7140" s="44"/>
      <c r="W7140" s="44"/>
      <c r="X7140" s="44"/>
      <c r="Y7140" s="44"/>
    </row>
    <row r="7141" spans="14:25" ht="15" customHeight="1" x14ac:dyDescent="0.25">
      <c r="N7141" s="44"/>
      <c r="O7141" s="44"/>
      <c r="P7141" s="44"/>
      <c r="Q7141" s="44"/>
      <c r="R7141" s="44"/>
      <c r="S7141" s="44"/>
      <c r="T7141" s="44"/>
      <c r="U7141" s="44"/>
      <c r="V7141" s="44"/>
      <c r="W7141" s="44"/>
      <c r="X7141" s="44"/>
      <c r="Y7141" s="44"/>
    </row>
    <row r="7142" spans="14:25" ht="15" customHeight="1" x14ac:dyDescent="0.25">
      <c r="N7142" s="44"/>
      <c r="O7142" s="44"/>
      <c r="P7142" s="44"/>
      <c r="Q7142" s="44"/>
      <c r="R7142" s="44"/>
      <c r="S7142" s="44"/>
      <c r="T7142" s="44"/>
      <c r="U7142" s="44"/>
      <c r="V7142" s="44"/>
      <c r="W7142" s="44"/>
      <c r="X7142" s="44"/>
      <c r="Y7142" s="44"/>
    </row>
    <row r="7143" spans="14:25" ht="15" customHeight="1" x14ac:dyDescent="0.25">
      <c r="N7143" s="44"/>
      <c r="O7143" s="44"/>
      <c r="P7143" s="44"/>
      <c r="Q7143" s="44"/>
      <c r="R7143" s="44"/>
      <c r="S7143" s="44"/>
      <c r="T7143" s="44"/>
      <c r="U7143" s="44"/>
      <c r="V7143" s="44"/>
      <c r="W7143" s="44"/>
      <c r="X7143" s="44"/>
      <c r="Y7143" s="44"/>
    </row>
    <row r="7144" spans="14:25" ht="15" customHeight="1" x14ac:dyDescent="0.25">
      <c r="N7144" s="44"/>
      <c r="O7144" s="44"/>
      <c r="P7144" s="44"/>
      <c r="Q7144" s="44"/>
      <c r="R7144" s="44"/>
      <c r="S7144" s="44"/>
      <c r="T7144" s="44"/>
      <c r="U7144" s="44"/>
      <c r="V7144" s="44"/>
      <c r="W7144" s="44"/>
      <c r="X7144" s="44"/>
      <c r="Y7144" s="44"/>
    </row>
    <row r="7145" spans="14:25" ht="15" customHeight="1" x14ac:dyDescent="0.25">
      <c r="N7145" s="44"/>
      <c r="O7145" s="44"/>
      <c r="P7145" s="44"/>
      <c r="Q7145" s="44"/>
      <c r="R7145" s="44"/>
      <c r="S7145" s="44"/>
      <c r="T7145" s="44"/>
      <c r="U7145" s="44"/>
      <c r="V7145" s="44"/>
      <c r="W7145" s="44"/>
      <c r="X7145" s="44"/>
      <c r="Y7145" s="44"/>
    </row>
    <row r="7146" spans="14:25" ht="15" customHeight="1" x14ac:dyDescent="0.25">
      <c r="N7146" s="44"/>
      <c r="O7146" s="44"/>
      <c r="P7146" s="44"/>
      <c r="Q7146" s="44"/>
      <c r="R7146" s="44"/>
      <c r="S7146" s="44"/>
      <c r="T7146" s="44"/>
      <c r="U7146" s="44"/>
      <c r="V7146" s="44"/>
      <c r="W7146" s="44"/>
      <c r="X7146" s="44"/>
      <c r="Y7146" s="44"/>
    </row>
    <row r="7147" spans="14:25" ht="15" customHeight="1" x14ac:dyDescent="0.25">
      <c r="N7147" s="44"/>
      <c r="O7147" s="44"/>
      <c r="P7147" s="44"/>
      <c r="Q7147" s="44"/>
      <c r="R7147" s="44"/>
      <c r="S7147" s="44"/>
      <c r="T7147" s="44"/>
      <c r="U7147" s="44"/>
      <c r="V7147" s="44"/>
      <c r="W7147" s="44"/>
      <c r="X7147" s="44"/>
      <c r="Y7147" s="44"/>
    </row>
    <row r="7148" spans="14:25" ht="15" customHeight="1" x14ac:dyDescent="0.25">
      <c r="N7148" s="44"/>
      <c r="O7148" s="44"/>
      <c r="P7148" s="44"/>
      <c r="Q7148" s="44"/>
      <c r="R7148" s="44"/>
      <c r="S7148" s="44"/>
      <c r="T7148" s="44"/>
      <c r="U7148" s="44"/>
      <c r="V7148" s="44"/>
      <c r="W7148" s="44"/>
      <c r="X7148" s="44"/>
      <c r="Y7148" s="44"/>
    </row>
    <row r="7149" spans="14:25" ht="15" customHeight="1" x14ac:dyDescent="0.25">
      <c r="N7149" s="44"/>
      <c r="O7149" s="44"/>
      <c r="P7149" s="44"/>
      <c r="Q7149" s="44"/>
      <c r="R7149" s="44"/>
      <c r="S7149" s="44"/>
      <c r="T7149" s="44"/>
      <c r="U7149" s="44"/>
      <c r="V7149" s="44"/>
      <c r="W7149" s="44"/>
      <c r="X7149" s="44"/>
      <c r="Y7149" s="44"/>
    </row>
    <row r="7150" spans="14:25" ht="15" customHeight="1" x14ac:dyDescent="0.25">
      <c r="N7150" s="44"/>
      <c r="O7150" s="44"/>
      <c r="P7150" s="44"/>
      <c r="Q7150" s="44"/>
      <c r="R7150" s="44"/>
      <c r="S7150" s="44"/>
      <c r="T7150" s="44"/>
      <c r="U7150" s="44"/>
      <c r="V7150" s="44"/>
      <c r="W7150" s="44"/>
      <c r="X7150" s="44"/>
      <c r="Y7150" s="44"/>
    </row>
    <row r="7151" spans="14:25" ht="15" customHeight="1" x14ac:dyDescent="0.25">
      <c r="N7151" s="44"/>
      <c r="O7151" s="44"/>
      <c r="P7151" s="44"/>
      <c r="Q7151" s="44"/>
      <c r="R7151" s="44"/>
      <c r="S7151" s="44"/>
      <c r="T7151" s="44"/>
      <c r="U7151" s="44"/>
      <c r="V7151" s="44"/>
      <c r="W7151" s="44"/>
      <c r="X7151" s="44"/>
      <c r="Y7151" s="44"/>
    </row>
    <row r="7152" spans="14:25" ht="15" customHeight="1" x14ac:dyDescent="0.25">
      <c r="N7152" s="44"/>
      <c r="O7152" s="44"/>
      <c r="P7152" s="44"/>
      <c r="Q7152" s="44"/>
      <c r="R7152" s="44"/>
      <c r="S7152" s="44"/>
      <c r="T7152" s="44"/>
      <c r="U7152" s="44"/>
      <c r="V7152" s="44"/>
      <c r="W7152" s="44"/>
      <c r="X7152" s="44"/>
      <c r="Y7152" s="44"/>
    </row>
    <row r="7153" spans="14:25" ht="15" customHeight="1" x14ac:dyDescent="0.25">
      <c r="N7153" s="44"/>
      <c r="O7153" s="44"/>
      <c r="P7153" s="44"/>
      <c r="Q7153" s="44"/>
      <c r="R7153" s="44"/>
      <c r="S7153" s="44"/>
      <c r="T7153" s="44"/>
      <c r="U7153" s="44"/>
      <c r="V7153" s="44"/>
      <c r="W7153" s="44"/>
      <c r="X7153" s="44"/>
      <c r="Y7153" s="44"/>
    </row>
    <row r="7154" spans="14:25" ht="15" customHeight="1" x14ac:dyDescent="0.25">
      <c r="N7154" s="44"/>
      <c r="O7154" s="44"/>
      <c r="P7154" s="44"/>
      <c r="Q7154" s="44"/>
      <c r="R7154" s="44"/>
      <c r="S7154" s="44"/>
      <c r="T7154" s="44"/>
      <c r="U7154" s="44"/>
      <c r="V7154" s="44"/>
      <c r="W7154" s="44"/>
      <c r="X7154" s="44"/>
      <c r="Y7154" s="44"/>
    </row>
    <row r="7155" spans="14:25" ht="15" customHeight="1" x14ac:dyDescent="0.25">
      <c r="N7155" s="44"/>
      <c r="O7155" s="44"/>
      <c r="P7155" s="44"/>
      <c r="Q7155" s="44"/>
      <c r="R7155" s="44"/>
      <c r="S7155" s="44"/>
      <c r="T7155" s="44"/>
      <c r="U7155" s="44"/>
      <c r="V7155" s="44"/>
      <c r="W7155" s="44"/>
      <c r="X7155" s="44"/>
      <c r="Y7155" s="44"/>
    </row>
    <row r="7156" spans="14:25" ht="15" customHeight="1" x14ac:dyDescent="0.25">
      <c r="N7156" s="44"/>
      <c r="O7156" s="44"/>
      <c r="P7156" s="44"/>
      <c r="Q7156" s="44"/>
      <c r="R7156" s="44"/>
      <c r="S7156" s="44"/>
      <c r="T7156" s="44"/>
      <c r="U7156" s="44"/>
      <c r="V7156" s="44"/>
      <c r="W7156" s="44"/>
      <c r="X7156" s="44"/>
      <c r="Y7156" s="44"/>
    </row>
    <row r="7157" spans="14:25" ht="15" customHeight="1" x14ac:dyDescent="0.25">
      <c r="N7157" s="44"/>
      <c r="O7157" s="44"/>
      <c r="P7157" s="44"/>
      <c r="Q7157" s="44"/>
      <c r="R7157" s="44"/>
      <c r="S7157" s="44"/>
      <c r="T7157" s="44"/>
      <c r="U7157" s="44"/>
      <c r="V7157" s="44"/>
      <c r="W7157" s="44"/>
      <c r="X7157" s="44"/>
      <c r="Y7157" s="44"/>
    </row>
    <row r="7158" spans="14:25" ht="15" customHeight="1" x14ac:dyDescent="0.25">
      <c r="N7158" s="44"/>
      <c r="O7158" s="44"/>
      <c r="P7158" s="44"/>
      <c r="Q7158" s="44"/>
      <c r="R7158" s="44"/>
      <c r="S7158" s="44"/>
      <c r="T7158" s="44"/>
      <c r="U7158" s="44"/>
      <c r="V7158" s="44"/>
      <c r="W7158" s="44"/>
      <c r="X7158" s="44"/>
      <c r="Y7158" s="44"/>
    </row>
    <row r="7159" spans="14:25" ht="15" customHeight="1" x14ac:dyDescent="0.25">
      <c r="N7159" s="44"/>
      <c r="O7159" s="44"/>
      <c r="P7159" s="44"/>
      <c r="Q7159" s="44"/>
      <c r="R7159" s="44"/>
      <c r="S7159" s="44"/>
      <c r="T7159" s="44"/>
      <c r="U7159" s="44"/>
      <c r="V7159" s="44"/>
      <c r="W7159" s="44"/>
      <c r="X7159" s="44"/>
      <c r="Y7159" s="44"/>
    </row>
    <row r="7160" spans="14:25" ht="15" customHeight="1" x14ac:dyDescent="0.25">
      <c r="N7160" s="44"/>
      <c r="O7160" s="44"/>
      <c r="P7160" s="44"/>
      <c r="Q7160" s="44"/>
      <c r="R7160" s="44"/>
      <c r="S7160" s="44"/>
      <c r="T7160" s="44"/>
      <c r="U7160" s="44"/>
      <c r="V7160" s="44"/>
      <c r="W7160" s="44"/>
      <c r="X7160" s="44"/>
      <c r="Y7160" s="44"/>
    </row>
    <row r="7161" spans="14:25" ht="15" customHeight="1" x14ac:dyDescent="0.25">
      <c r="N7161" s="44"/>
      <c r="O7161" s="44"/>
      <c r="P7161" s="44"/>
      <c r="Q7161" s="44"/>
      <c r="R7161" s="44"/>
      <c r="S7161" s="44"/>
      <c r="T7161" s="44"/>
      <c r="U7161" s="44"/>
      <c r="V7161" s="44"/>
      <c r="W7161" s="44"/>
      <c r="X7161" s="44"/>
      <c r="Y7161" s="44"/>
    </row>
    <row r="7162" spans="14:25" ht="15" customHeight="1" x14ac:dyDescent="0.25">
      <c r="N7162" s="44"/>
      <c r="O7162" s="44"/>
      <c r="P7162" s="44"/>
      <c r="Q7162" s="44"/>
      <c r="R7162" s="44"/>
      <c r="S7162" s="44"/>
      <c r="T7162" s="44"/>
      <c r="U7162" s="44"/>
      <c r="V7162" s="44"/>
      <c r="W7162" s="44"/>
      <c r="X7162" s="44"/>
      <c r="Y7162" s="44"/>
    </row>
    <row r="7163" spans="14:25" ht="15" customHeight="1" x14ac:dyDescent="0.25">
      <c r="N7163" s="44"/>
      <c r="O7163" s="44"/>
      <c r="P7163" s="44"/>
      <c r="Q7163" s="44"/>
      <c r="R7163" s="44"/>
      <c r="S7163" s="44"/>
      <c r="T7163" s="44"/>
      <c r="U7163" s="44"/>
      <c r="V7163" s="44"/>
      <c r="W7163" s="44"/>
      <c r="X7163" s="44"/>
      <c r="Y7163" s="44"/>
    </row>
    <row r="7164" spans="14:25" ht="15" customHeight="1" x14ac:dyDescent="0.25">
      <c r="N7164" s="44"/>
      <c r="O7164" s="44"/>
      <c r="P7164" s="44"/>
      <c r="Q7164" s="44"/>
      <c r="R7164" s="44"/>
      <c r="S7164" s="44"/>
      <c r="T7164" s="44"/>
      <c r="U7164" s="44"/>
      <c r="V7164" s="44"/>
      <c r="W7164" s="44"/>
      <c r="X7164" s="44"/>
      <c r="Y7164" s="44"/>
    </row>
    <row r="7165" spans="14:25" ht="15" customHeight="1" x14ac:dyDescent="0.25">
      <c r="N7165" s="44"/>
      <c r="O7165" s="44"/>
      <c r="P7165" s="44"/>
      <c r="Q7165" s="44"/>
      <c r="R7165" s="44"/>
      <c r="S7165" s="44"/>
      <c r="T7165" s="44"/>
      <c r="U7165" s="44"/>
      <c r="V7165" s="44"/>
      <c r="W7165" s="44"/>
      <c r="X7165" s="44"/>
      <c r="Y7165" s="44"/>
    </row>
    <row r="7166" spans="14:25" ht="15" customHeight="1" x14ac:dyDescent="0.25">
      <c r="N7166" s="44"/>
      <c r="O7166" s="44"/>
      <c r="P7166" s="44"/>
      <c r="Q7166" s="44"/>
      <c r="R7166" s="44"/>
      <c r="S7166" s="44"/>
      <c r="T7166" s="44"/>
      <c r="U7166" s="44"/>
      <c r="V7166" s="44"/>
      <c r="W7166" s="44"/>
      <c r="X7166" s="44"/>
      <c r="Y7166" s="44"/>
    </row>
    <row r="7167" spans="14:25" ht="15" customHeight="1" x14ac:dyDescent="0.25">
      <c r="N7167" s="44"/>
      <c r="O7167" s="44"/>
      <c r="P7167" s="44"/>
      <c r="Q7167" s="44"/>
      <c r="R7167" s="44"/>
      <c r="S7167" s="44"/>
      <c r="T7167" s="44"/>
      <c r="U7167" s="44"/>
      <c r="V7167" s="44"/>
      <c r="W7167" s="44"/>
      <c r="X7167" s="44"/>
      <c r="Y7167" s="44"/>
    </row>
    <row r="7168" spans="14:25" ht="15" customHeight="1" x14ac:dyDescent="0.25">
      <c r="N7168" s="44"/>
      <c r="O7168" s="44"/>
      <c r="P7168" s="44"/>
      <c r="Q7168" s="44"/>
      <c r="R7168" s="44"/>
      <c r="S7168" s="44"/>
      <c r="T7168" s="44"/>
      <c r="U7168" s="44"/>
      <c r="V7168" s="44"/>
      <c r="W7168" s="44"/>
      <c r="X7168" s="44"/>
      <c r="Y7168" s="44"/>
    </row>
    <row r="7169" spans="14:25" ht="15" customHeight="1" x14ac:dyDescent="0.25">
      <c r="N7169" s="44"/>
      <c r="O7169" s="44"/>
      <c r="P7169" s="44"/>
      <c r="Q7169" s="44"/>
      <c r="R7169" s="44"/>
      <c r="S7169" s="44"/>
      <c r="T7169" s="44"/>
      <c r="U7169" s="44"/>
      <c r="V7169" s="44"/>
      <c r="W7169" s="44"/>
      <c r="X7169" s="44"/>
      <c r="Y7169" s="44"/>
    </row>
    <row r="7170" spans="14:25" ht="15" customHeight="1" x14ac:dyDescent="0.25">
      <c r="N7170" s="44"/>
      <c r="O7170" s="44"/>
      <c r="P7170" s="44"/>
      <c r="Q7170" s="44"/>
      <c r="R7170" s="44"/>
      <c r="S7170" s="44"/>
      <c r="T7170" s="44"/>
      <c r="U7170" s="44"/>
      <c r="V7170" s="44"/>
      <c r="W7170" s="44"/>
      <c r="X7170" s="44"/>
      <c r="Y7170" s="44"/>
    </row>
    <row r="7171" spans="14:25" ht="15" customHeight="1" x14ac:dyDescent="0.25">
      <c r="N7171" s="44"/>
      <c r="O7171" s="44"/>
      <c r="P7171" s="44"/>
      <c r="Q7171" s="44"/>
      <c r="R7171" s="44"/>
      <c r="S7171" s="44"/>
      <c r="T7171" s="44"/>
      <c r="U7171" s="44"/>
      <c r="V7171" s="44"/>
      <c r="W7171" s="44"/>
      <c r="X7171" s="44"/>
      <c r="Y7171" s="44"/>
    </row>
    <row r="7172" spans="14:25" ht="15" customHeight="1" x14ac:dyDescent="0.25">
      <c r="N7172" s="44"/>
      <c r="O7172" s="44"/>
      <c r="P7172" s="44"/>
      <c r="Q7172" s="44"/>
      <c r="R7172" s="44"/>
      <c r="S7172" s="44"/>
      <c r="T7172" s="44"/>
      <c r="U7172" s="44"/>
      <c r="V7172" s="44"/>
      <c r="W7172" s="44"/>
      <c r="X7172" s="44"/>
      <c r="Y7172" s="44"/>
    </row>
    <row r="7173" spans="14:25" ht="15" customHeight="1" x14ac:dyDescent="0.25">
      <c r="N7173" s="44"/>
      <c r="O7173" s="44"/>
      <c r="P7173" s="44"/>
      <c r="Q7173" s="44"/>
      <c r="R7173" s="44"/>
      <c r="S7173" s="44"/>
      <c r="T7173" s="44"/>
      <c r="U7173" s="44"/>
      <c r="V7173" s="44"/>
      <c r="W7173" s="44"/>
      <c r="X7173" s="44"/>
      <c r="Y7173" s="44"/>
    </row>
    <row r="7174" spans="14:25" ht="15" customHeight="1" x14ac:dyDescent="0.25">
      <c r="N7174" s="44"/>
      <c r="O7174" s="44"/>
      <c r="P7174" s="44"/>
      <c r="Q7174" s="44"/>
      <c r="R7174" s="44"/>
      <c r="S7174" s="44"/>
      <c r="T7174" s="44"/>
      <c r="U7174" s="44"/>
      <c r="V7174" s="44"/>
      <c r="W7174" s="44"/>
      <c r="X7174" s="44"/>
      <c r="Y7174" s="44"/>
    </row>
    <row r="7175" spans="14:25" ht="15" customHeight="1" x14ac:dyDescent="0.25">
      <c r="N7175" s="44"/>
      <c r="O7175" s="44"/>
      <c r="P7175" s="44"/>
      <c r="Q7175" s="44"/>
      <c r="R7175" s="44"/>
      <c r="S7175" s="44"/>
      <c r="T7175" s="44"/>
      <c r="U7175" s="44"/>
      <c r="V7175" s="44"/>
      <c r="W7175" s="44"/>
      <c r="X7175" s="44"/>
      <c r="Y7175" s="44"/>
    </row>
    <row r="7176" spans="14:25" ht="15" customHeight="1" x14ac:dyDescent="0.25">
      <c r="N7176" s="44"/>
      <c r="O7176" s="44"/>
      <c r="P7176" s="44"/>
      <c r="Q7176" s="44"/>
      <c r="R7176" s="44"/>
      <c r="S7176" s="44"/>
      <c r="T7176" s="44"/>
      <c r="U7176" s="44"/>
      <c r="V7176" s="44"/>
      <c r="W7176" s="44"/>
      <c r="X7176" s="44"/>
      <c r="Y7176" s="44"/>
    </row>
    <row r="7177" spans="14:25" ht="15" customHeight="1" x14ac:dyDescent="0.25">
      <c r="N7177" s="44"/>
      <c r="O7177" s="44"/>
      <c r="P7177" s="44"/>
      <c r="Q7177" s="44"/>
      <c r="R7177" s="44"/>
      <c r="S7177" s="44"/>
      <c r="T7177" s="44"/>
      <c r="U7177" s="44"/>
      <c r="V7177" s="44"/>
      <c r="W7177" s="44"/>
      <c r="X7177" s="44"/>
      <c r="Y7177" s="44"/>
    </row>
    <row r="7178" spans="14:25" ht="15" customHeight="1" x14ac:dyDescent="0.25">
      <c r="N7178" s="44"/>
      <c r="O7178" s="44"/>
      <c r="P7178" s="44"/>
      <c r="Q7178" s="44"/>
      <c r="R7178" s="44"/>
      <c r="S7178" s="44"/>
      <c r="T7178" s="44"/>
      <c r="U7178" s="44"/>
      <c r="V7178" s="44"/>
      <c r="W7178" s="44"/>
      <c r="X7178" s="44"/>
      <c r="Y7178" s="44"/>
    </row>
    <row r="7179" spans="14:25" ht="15" customHeight="1" x14ac:dyDescent="0.25">
      <c r="N7179" s="44"/>
      <c r="O7179" s="44"/>
      <c r="P7179" s="44"/>
      <c r="Q7179" s="44"/>
      <c r="R7179" s="44"/>
      <c r="S7179" s="44"/>
      <c r="T7179" s="44"/>
      <c r="U7179" s="44"/>
      <c r="V7179" s="44"/>
      <c r="W7179" s="44"/>
      <c r="X7179" s="44"/>
      <c r="Y7179" s="44"/>
    </row>
    <row r="7180" spans="14:25" ht="15" customHeight="1" x14ac:dyDescent="0.25">
      <c r="N7180" s="44"/>
      <c r="O7180" s="44"/>
      <c r="P7180" s="44"/>
      <c r="Q7180" s="44"/>
      <c r="R7180" s="44"/>
      <c r="S7180" s="44"/>
      <c r="T7180" s="44"/>
      <c r="U7180" s="44"/>
      <c r="V7180" s="44"/>
      <c r="W7180" s="44"/>
      <c r="X7180" s="44"/>
      <c r="Y7180" s="44"/>
    </row>
    <row r="7181" spans="14:25" ht="15" customHeight="1" x14ac:dyDescent="0.25">
      <c r="N7181" s="44"/>
      <c r="O7181" s="44"/>
      <c r="P7181" s="44"/>
      <c r="Q7181" s="44"/>
      <c r="R7181" s="44"/>
      <c r="S7181" s="44"/>
      <c r="T7181" s="44"/>
      <c r="U7181" s="44"/>
      <c r="V7181" s="44"/>
      <c r="W7181" s="44"/>
      <c r="X7181" s="44"/>
      <c r="Y7181" s="44"/>
    </row>
    <row r="7182" spans="14:25" ht="15" customHeight="1" x14ac:dyDescent="0.25">
      <c r="N7182" s="44"/>
      <c r="O7182" s="44"/>
      <c r="P7182" s="44"/>
      <c r="Q7182" s="44"/>
      <c r="R7182" s="44"/>
      <c r="S7182" s="44"/>
      <c r="T7182" s="44"/>
      <c r="U7182" s="44"/>
      <c r="V7182" s="44"/>
      <c r="W7182" s="44"/>
      <c r="X7182" s="44"/>
      <c r="Y7182" s="44"/>
    </row>
    <row r="7183" spans="14:25" ht="15" customHeight="1" x14ac:dyDescent="0.25">
      <c r="N7183" s="44"/>
      <c r="O7183" s="44"/>
      <c r="P7183" s="44"/>
      <c r="Q7183" s="44"/>
      <c r="R7183" s="44"/>
      <c r="S7183" s="44"/>
      <c r="T7183" s="44"/>
      <c r="U7183" s="44"/>
      <c r="V7183" s="44"/>
      <c r="W7183" s="44"/>
      <c r="X7183" s="44"/>
      <c r="Y7183" s="44"/>
    </row>
    <row r="7184" spans="14:25" ht="15" customHeight="1" x14ac:dyDescent="0.25">
      <c r="N7184" s="44"/>
      <c r="O7184" s="44"/>
      <c r="P7184" s="44"/>
      <c r="Q7184" s="44"/>
      <c r="R7184" s="44"/>
      <c r="S7184" s="44"/>
      <c r="T7184" s="44"/>
      <c r="U7184" s="44"/>
      <c r="V7184" s="44"/>
      <c r="W7184" s="44"/>
      <c r="X7184" s="44"/>
      <c r="Y7184" s="44"/>
    </row>
    <row r="7185" spans="14:25" ht="15" customHeight="1" x14ac:dyDescent="0.25">
      <c r="N7185" s="44"/>
      <c r="O7185" s="44"/>
      <c r="P7185" s="44"/>
      <c r="Q7185" s="44"/>
      <c r="R7185" s="44"/>
      <c r="S7185" s="44"/>
      <c r="T7185" s="44"/>
      <c r="U7185" s="44"/>
      <c r="V7185" s="44"/>
      <c r="W7185" s="44"/>
      <c r="X7185" s="44"/>
      <c r="Y7185" s="44"/>
    </row>
    <row r="7186" spans="14:25" ht="15" customHeight="1" x14ac:dyDescent="0.25">
      <c r="N7186" s="44"/>
      <c r="O7186" s="44"/>
      <c r="P7186" s="44"/>
      <c r="Q7186" s="44"/>
      <c r="R7186" s="44"/>
      <c r="S7186" s="44"/>
      <c r="T7186" s="44"/>
      <c r="U7186" s="44"/>
      <c r="V7186" s="44"/>
      <c r="W7186" s="44"/>
      <c r="X7186" s="44"/>
      <c r="Y7186" s="44"/>
    </row>
    <row r="7187" spans="14:25" ht="15" customHeight="1" x14ac:dyDescent="0.25">
      <c r="N7187" s="44"/>
      <c r="O7187" s="44"/>
      <c r="P7187" s="44"/>
      <c r="Q7187" s="44"/>
      <c r="R7187" s="44"/>
      <c r="S7187" s="44"/>
      <c r="T7187" s="44"/>
      <c r="U7187" s="44"/>
      <c r="V7187" s="44"/>
      <c r="W7187" s="44"/>
      <c r="X7187" s="44"/>
      <c r="Y7187" s="44"/>
    </row>
    <row r="7188" spans="14:25" ht="15" customHeight="1" x14ac:dyDescent="0.25">
      <c r="N7188" s="44"/>
      <c r="O7188" s="44"/>
      <c r="P7188" s="44"/>
      <c r="Q7188" s="44"/>
      <c r="R7188" s="44"/>
      <c r="S7188" s="44"/>
      <c r="T7188" s="44"/>
      <c r="U7188" s="44"/>
      <c r="V7188" s="44"/>
      <c r="W7188" s="44"/>
      <c r="X7188" s="44"/>
      <c r="Y7188" s="44"/>
    </row>
    <row r="7189" spans="14:25" ht="15" customHeight="1" x14ac:dyDescent="0.25">
      <c r="N7189" s="44"/>
      <c r="O7189" s="44"/>
      <c r="P7189" s="44"/>
      <c r="Q7189" s="44"/>
      <c r="R7189" s="44"/>
      <c r="S7189" s="44"/>
      <c r="T7189" s="44"/>
      <c r="U7189" s="44"/>
      <c r="V7189" s="44"/>
      <c r="W7189" s="44"/>
      <c r="X7189" s="44"/>
      <c r="Y7189" s="44"/>
    </row>
    <row r="7190" spans="14:25" ht="15" customHeight="1" x14ac:dyDescent="0.25">
      <c r="N7190" s="44"/>
      <c r="O7190" s="44"/>
      <c r="P7190" s="44"/>
      <c r="Q7190" s="44"/>
      <c r="R7190" s="44"/>
      <c r="S7190" s="44"/>
      <c r="T7190" s="44"/>
      <c r="U7190" s="44"/>
      <c r="V7190" s="44"/>
      <c r="W7190" s="44"/>
      <c r="X7190" s="44"/>
      <c r="Y7190" s="44"/>
    </row>
    <row r="7191" spans="14:25" ht="15" customHeight="1" x14ac:dyDescent="0.25">
      <c r="N7191" s="44"/>
      <c r="O7191" s="44"/>
      <c r="P7191" s="44"/>
      <c r="Q7191" s="44"/>
      <c r="R7191" s="44"/>
      <c r="S7191" s="44"/>
      <c r="T7191" s="44"/>
      <c r="U7191" s="44"/>
      <c r="V7191" s="44"/>
      <c r="W7191" s="44"/>
      <c r="X7191" s="44"/>
      <c r="Y7191" s="44"/>
    </row>
    <row r="7192" spans="14:25" ht="15" customHeight="1" x14ac:dyDescent="0.25">
      <c r="N7192" s="44"/>
      <c r="O7192" s="44"/>
      <c r="P7192" s="44"/>
      <c r="Q7192" s="44"/>
      <c r="R7192" s="44"/>
      <c r="S7192" s="44"/>
      <c r="T7192" s="44"/>
      <c r="U7192" s="44"/>
      <c r="V7192" s="44"/>
      <c r="W7192" s="44"/>
      <c r="X7192" s="44"/>
      <c r="Y7192" s="44"/>
    </row>
    <row r="7193" spans="14:25" ht="15" customHeight="1" x14ac:dyDescent="0.25">
      <c r="N7193" s="44"/>
      <c r="O7193" s="44"/>
      <c r="P7193" s="44"/>
      <c r="Q7193" s="44"/>
      <c r="R7193" s="44"/>
      <c r="S7193" s="44"/>
      <c r="T7193" s="44"/>
      <c r="U7193" s="44"/>
      <c r="V7193" s="44"/>
      <c r="W7193" s="44"/>
      <c r="X7193" s="44"/>
      <c r="Y7193" s="44"/>
    </row>
    <row r="7194" spans="14:25" ht="15" customHeight="1" x14ac:dyDescent="0.25">
      <c r="N7194" s="44"/>
      <c r="O7194" s="44"/>
      <c r="P7194" s="44"/>
      <c r="Q7194" s="44"/>
      <c r="R7194" s="44"/>
      <c r="S7194" s="44"/>
      <c r="T7194" s="44"/>
      <c r="U7194" s="44"/>
      <c r="V7194" s="44"/>
      <c r="W7194" s="44"/>
      <c r="X7194" s="44"/>
      <c r="Y7194" s="44"/>
    </row>
    <row r="7195" spans="14:25" ht="15" customHeight="1" x14ac:dyDescent="0.25">
      <c r="N7195" s="44"/>
      <c r="O7195" s="44"/>
      <c r="P7195" s="44"/>
      <c r="Q7195" s="44"/>
      <c r="R7195" s="44"/>
      <c r="S7195" s="44"/>
      <c r="T7195" s="44"/>
      <c r="U7195" s="44"/>
      <c r="V7195" s="44"/>
      <c r="W7195" s="44"/>
      <c r="X7195" s="44"/>
      <c r="Y7195" s="44"/>
    </row>
    <row r="7196" spans="14:25" ht="15" customHeight="1" x14ac:dyDescent="0.25">
      <c r="N7196" s="44"/>
      <c r="O7196" s="44"/>
      <c r="P7196" s="44"/>
      <c r="Q7196" s="44"/>
      <c r="R7196" s="44"/>
      <c r="S7196" s="44"/>
      <c r="T7196" s="44"/>
      <c r="U7196" s="44"/>
      <c r="V7196" s="44"/>
      <c r="W7196" s="44"/>
      <c r="X7196" s="44"/>
      <c r="Y7196" s="44"/>
    </row>
    <row r="7197" spans="14:25" ht="15" customHeight="1" x14ac:dyDescent="0.25">
      <c r="N7197" s="44"/>
      <c r="O7197" s="44"/>
      <c r="P7197" s="44"/>
      <c r="Q7197" s="44"/>
      <c r="R7197" s="44"/>
      <c r="S7197" s="44"/>
      <c r="T7197" s="44"/>
      <c r="U7197" s="44"/>
      <c r="V7197" s="44"/>
      <c r="W7197" s="44"/>
      <c r="X7197" s="44"/>
      <c r="Y7197" s="44"/>
    </row>
    <row r="7198" spans="14:25" ht="15" customHeight="1" x14ac:dyDescent="0.25">
      <c r="N7198" s="44"/>
      <c r="O7198" s="44"/>
      <c r="P7198" s="44"/>
      <c r="Q7198" s="44"/>
      <c r="R7198" s="44"/>
      <c r="S7198" s="44"/>
      <c r="T7198" s="44"/>
      <c r="U7198" s="44"/>
      <c r="V7198" s="44"/>
      <c r="W7198" s="44"/>
      <c r="X7198" s="44"/>
      <c r="Y7198" s="44"/>
    </row>
  </sheetData>
  <autoFilter ref="A16:Y8326" xr:uid="{00000000-0009-0000-0000-000004000000}"/>
  <mergeCells count="124">
    <mergeCell ref="B2:L6"/>
    <mergeCell ref="F33:G33"/>
    <mergeCell ref="F34:G34"/>
    <mergeCell ref="F64:G64"/>
    <mergeCell ref="F65:G65"/>
    <mergeCell ref="F97:G97"/>
    <mergeCell ref="F115:G115"/>
    <mergeCell ref="F116:G116"/>
    <mergeCell ref="F117:G117"/>
    <mergeCell ref="F105:G105"/>
    <mergeCell ref="F106:G106"/>
    <mergeCell ref="F63:G63"/>
    <mergeCell ref="F98:G98"/>
    <mergeCell ref="F99:G99"/>
    <mergeCell ref="F69:G69"/>
    <mergeCell ref="F82:G82"/>
    <mergeCell ref="F89:G89"/>
    <mergeCell ref="F53:G53"/>
    <mergeCell ref="F54:G54"/>
    <mergeCell ref="F61:G61"/>
    <mergeCell ref="B17:J17"/>
    <mergeCell ref="F55:G55"/>
    <mergeCell ref="F56:G56"/>
    <mergeCell ref="F57:G57"/>
    <mergeCell ref="F144:G144"/>
    <mergeCell ref="F145:G145"/>
    <mergeCell ref="F154:G154"/>
    <mergeCell ref="F155:G155"/>
    <mergeCell ref="F156:G156"/>
    <mergeCell ref="F166:G166"/>
    <mergeCell ref="F120:G120"/>
    <mergeCell ref="F152:G152"/>
    <mergeCell ref="F153:G153"/>
    <mergeCell ref="F157:G157"/>
    <mergeCell ref="F158:G158"/>
    <mergeCell ref="F165:G165"/>
    <mergeCell ref="F121:G121"/>
    <mergeCell ref="F122:G122"/>
    <mergeCell ref="F123:G123"/>
    <mergeCell ref="F138:G138"/>
    <mergeCell ref="F139:G139"/>
    <mergeCell ref="F146:G146"/>
    <mergeCell ref="F147:G147"/>
    <mergeCell ref="F148:G148"/>
    <mergeCell ref="F140:G140"/>
    <mergeCell ref="F164:G164"/>
    <mergeCell ref="F133:G133"/>
    <mergeCell ref="F135:G135"/>
    <mergeCell ref="F37:G37"/>
    <mergeCell ref="F38:G38"/>
    <mergeCell ref="F42:G42"/>
    <mergeCell ref="F18:G18"/>
    <mergeCell ref="F19:G19"/>
    <mergeCell ref="F20:G20"/>
    <mergeCell ref="F27:G27"/>
    <mergeCell ref="F70:G70"/>
    <mergeCell ref="F43:G43"/>
    <mergeCell ref="F44:G44"/>
    <mergeCell ref="F45:G45"/>
    <mergeCell ref="F31:G31"/>
    <mergeCell ref="F32:G32"/>
    <mergeCell ref="F36:G36"/>
    <mergeCell ref="F72:G72"/>
    <mergeCell ref="F73:G73"/>
    <mergeCell ref="F46:G46"/>
    <mergeCell ref="F47:G47"/>
    <mergeCell ref="F48:G48"/>
    <mergeCell ref="F49:G49"/>
    <mergeCell ref="F62:G62"/>
    <mergeCell ref="I131:J131"/>
    <mergeCell ref="F134:G134"/>
    <mergeCell ref="F86:G86"/>
    <mergeCell ref="F87:G87"/>
    <mergeCell ref="F88:G88"/>
    <mergeCell ref="F100:G100"/>
    <mergeCell ref="F77:G77"/>
    <mergeCell ref="F78:G78"/>
    <mergeCell ref="F79:G79"/>
    <mergeCell ref="F80:G80"/>
    <mergeCell ref="F81:G81"/>
    <mergeCell ref="F71:G71"/>
    <mergeCell ref="F136:G136"/>
    <mergeCell ref="I142:J142"/>
    <mergeCell ref="I108:J108"/>
    <mergeCell ref="F110:G110"/>
    <mergeCell ref="F111:G111"/>
    <mergeCell ref="F95:G95"/>
    <mergeCell ref="F137:G137"/>
    <mergeCell ref="F129:G129"/>
    <mergeCell ref="F119:G119"/>
    <mergeCell ref="F102:G102"/>
    <mergeCell ref="F103:G103"/>
    <mergeCell ref="F104:G104"/>
    <mergeCell ref="F113:G113"/>
    <mergeCell ref="F114:G114"/>
    <mergeCell ref="F118:G118"/>
    <mergeCell ref="F96:G96"/>
    <mergeCell ref="F112:G112"/>
    <mergeCell ref="F128:G128"/>
    <mergeCell ref="F101:G101"/>
    <mergeCell ref="I150:J150"/>
    <mergeCell ref="I160:J160"/>
    <mergeCell ref="F162:G162"/>
    <mergeCell ref="F163:G163"/>
    <mergeCell ref="I168:J168"/>
    <mergeCell ref="I22:J22"/>
    <mergeCell ref="F24:G24"/>
    <mergeCell ref="F25:G25"/>
    <mergeCell ref="F26:G26"/>
    <mergeCell ref="I29:J29"/>
    <mergeCell ref="F35:G35"/>
    <mergeCell ref="I40:J40"/>
    <mergeCell ref="I51:J51"/>
    <mergeCell ref="I59:J59"/>
    <mergeCell ref="I67:J67"/>
    <mergeCell ref="I75:J75"/>
    <mergeCell ref="F83:G83"/>
    <mergeCell ref="F84:G84"/>
    <mergeCell ref="F85:G85"/>
    <mergeCell ref="I91:J91"/>
    <mergeCell ref="F93:G93"/>
    <mergeCell ref="F94:G94"/>
    <mergeCell ref="I125:J125"/>
    <mergeCell ref="F127:G127"/>
  </mergeCells>
  <printOptions horizontalCentered="1"/>
  <pageMargins left="0.7" right="0.7" top="0.75" bottom="0.75" header="0.3" footer="0.3"/>
  <pageSetup paperSize="9" scale="3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D8D8"/>
    <pageSetUpPr fitToPage="1"/>
  </sheetPr>
  <dimension ref="A1:Z1007"/>
  <sheetViews>
    <sheetView showGridLines="0" tabSelected="1" zoomScale="70" zoomScaleNormal="70" workbookViewId="0">
      <selection activeCell="B52" sqref="B52:F52"/>
    </sheetView>
  </sheetViews>
  <sheetFormatPr defaultColWidth="12.59765625" defaultRowHeight="15" customHeight="1" x14ac:dyDescent="0.25"/>
  <cols>
    <col min="1" max="1" width="3.19921875" customWidth="1"/>
    <col min="2" max="2" width="18.59765625" customWidth="1"/>
    <col min="3" max="3" width="63.09765625" customWidth="1"/>
    <col min="4" max="4" width="18.59765625" customWidth="1"/>
    <col min="5" max="6" width="33.09765625" customWidth="1"/>
    <col min="7" max="7" width="3.19921875" customWidth="1"/>
    <col min="8" max="26" width="13" customWidth="1"/>
  </cols>
  <sheetData>
    <row r="1" spans="1:26" ht="20.25" customHeight="1" x14ac:dyDescent="0.25">
      <c r="A1" s="145"/>
      <c r="B1" s="4"/>
      <c r="C1" s="4"/>
      <c r="D1" s="4"/>
      <c r="E1" s="4"/>
      <c r="F1" s="4"/>
      <c r="G1" s="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8.75" customHeight="1" x14ac:dyDescent="0.25">
      <c r="A2" s="46"/>
      <c r="B2" s="346" t="s">
        <v>400</v>
      </c>
      <c r="C2" s="347"/>
      <c r="D2" s="347"/>
      <c r="E2" s="347"/>
      <c r="F2" s="348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5">
      <c r="A3" s="46"/>
      <c r="B3" s="349"/>
      <c r="C3" s="350"/>
      <c r="D3" s="350"/>
      <c r="E3" s="350"/>
      <c r="F3" s="351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5">
      <c r="A4" s="46"/>
      <c r="B4" s="349"/>
      <c r="C4" s="350"/>
      <c r="D4" s="350"/>
      <c r="E4" s="350"/>
      <c r="F4" s="351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5">
      <c r="A5" s="46"/>
      <c r="B5" s="349"/>
      <c r="C5" s="350"/>
      <c r="D5" s="350"/>
      <c r="E5" s="350"/>
      <c r="F5" s="351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5">
      <c r="A6" s="46"/>
      <c r="B6" s="352"/>
      <c r="C6" s="353"/>
      <c r="D6" s="353"/>
      <c r="E6" s="353"/>
      <c r="F6" s="354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5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5">
      <c r="A8" s="48"/>
      <c r="B8" s="50" t="str">
        <f>'DADOS GERAIS'!B8</f>
        <v>Secretaria de Atenção Especializada à Saúde</v>
      </c>
      <c r="C8" s="51"/>
      <c r="D8" s="52" t="s">
        <v>16</v>
      </c>
      <c r="E8" s="52" t="s">
        <v>17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5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0.24880703423586414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5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5">
      <c r="A11" s="48"/>
      <c r="B11" s="60" t="str">
        <f>'DADOS GERAIS'!B11</f>
        <v>Bancos:</v>
      </c>
      <c r="C11" s="55"/>
      <c r="D11" s="61" t="s">
        <v>18</v>
      </c>
      <c r="E11" s="61" t="s">
        <v>19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5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5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5">
      <c r="A14" s="48"/>
      <c r="B14" s="4"/>
      <c r="C14" s="4"/>
      <c r="D14" s="4"/>
      <c r="E14" s="4"/>
      <c r="F14" s="4"/>
      <c r="G14" s="48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20.25" customHeight="1" x14ac:dyDescent="0.25">
      <c r="A15" s="4"/>
      <c r="B15" s="146" t="s">
        <v>401</v>
      </c>
      <c r="C15" s="147"/>
      <c r="D15" s="147"/>
      <c r="E15" s="147"/>
      <c r="F15" s="148"/>
      <c r="G15" s="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20.25" customHeight="1" x14ac:dyDescent="0.25">
      <c r="A16" s="4"/>
      <c r="B16" s="149"/>
      <c r="C16" s="150"/>
      <c r="D16" s="150"/>
      <c r="E16" s="150"/>
      <c r="F16" s="151"/>
      <c r="G16" s="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20.25" customHeight="1" x14ac:dyDescent="0.25">
      <c r="A17" s="4"/>
      <c r="B17" s="149"/>
      <c r="C17" s="150"/>
      <c r="D17" s="150"/>
      <c r="E17" s="150"/>
      <c r="F17" s="151"/>
      <c r="G17" s="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20.25" customHeight="1" x14ac:dyDescent="0.25">
      <c r="A18" s="4"/>
      <c r="B18" s="149"/>
      <c r="C18" s="150"/>
      <c r="D18" s="150"/>
      <c r="E18" s="150"/>
      <c r="F18" s="151"/>
      <c r="G18" s="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20.25" customHeight="1" x14ac:dyDescent="0.25">
      <c r="A19" s="4"/>
      <c r="B19" s="149"/>
      <c r="C19" s="150"/>
      <c r="D19" s="150"/>
      <c r="E19" s="150"/>
      <c r="F19" s="151"/>
      <c r="G19" s="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20.25" customHeight="1" x14ac:dyDescent="0.25">
      <c r="A20" s="4"/>
      <c r="B20" s="152"/>
      <c r="C20" s="153"/>
      <c r="D20" s="153"/>
      <c r="E20" s="153"/>
      <c r="F20" s="154"/>
      <c r="G20" s="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5" customHeight="1" x14ac:dyDescent="0.25">
      <c r="A21" s="48"/>
      <c r="B21" s="4"/>
      <c r="C21" s="4"/>
      <c r="D21" s="4"/>
      <c r="E21" s="4"/>
      <c r="F21" s="4"/>
      <c r="G21" s="48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"/>
    </row>
    <row r="22" spans="1:26" ht="20.25" customHeight="1" x14ac:dyDescent="0.25">
      <c r="A22" s="4"/>
      <c r="B22" s="440" t="s">
        <v>20</v>
      </c>
      <c r="C22" s="440" t="s">
        <v>21</v>
      </c>
      <c r="D22" s="440" t="s">
        <v>402</v>
      </c>
      <c r="E22" s="442" t="s">
        <v>403</v>
      </c>
      <c r="F22" s="442" t="s">
        <v>404</v>
      </c>
      <c r="G22" s="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20.25" customHeight="1" x14ac:dyDescent="0.25">
      <c r="A23" s="4"/>
      <c r="B23" s="441"/>
      <c r="C23" s="441"/>
      <c r="D23" s="441"/>
      <c r="E23" s="441"/>
      <c r="F23" s="441"/>
      <c r="G23" s="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5" customHeight="1" x14ac:dyDescent="0.25">
      <c r="A24" s="48"/>
      <c r="B24" s="4"/>
      <c r="C24" s="4"/>
      <c r="D24" s="4"/>
      <c r="E24" s="4"/>
      <c r="F24" s="4"/>
      <c r="G24" s="48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"/>
    </row>
    <row r="25" spans="1:26" ht="20.25" customHeight="1" x14ac:dyDescent="0.25">
      <c r="A25" s="4"/>
      <c r="B25" s="155">
        <v>1</v>
      </c>
      <c r="C25" s="156" t="s">
        <v>405</v>
      </c>
      <c r="D25" s="155" t="s">
        <v>406</v>
      </c>
      <c r="E25" s="273">
        <v>4.4999999999999998E-2</v>
      </c>
      <c r="F25" s="273">
        <v>1.4999999999999999E-2</v>
      </c>
      <c r="G25" s="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20.25" customHeight="1" x14ac:dyDescent="0.25">
      <c r="A26" s="4"/>
      <c r="B26" s="157">
        <v>2</v>
      </c>
      <c r="C26" s="158" t="s">
        <v>407</v>
      </c>
      <c r="D26" s="157" t="s">
        <v>408</v>
      </c>
      <c r="E26" s="159">
        <v>1.2699999999999999E-2</v>
      </c>
      <c r="F26" s="159">
        <v>8.5000000000000006E-3</v>
      </c>
      <c r="G26" s="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20.25" customHeight="1" x14ac:dyDescent="0.25">
      <c r="A27" s="4"/>
      <c r="B27" s="157">
        <v>3</v>
      </c>
      <c r="C27" s="158" t="s">
        <v>409</v>
      </c>
      <c r="D27" s="157" t="s">
        <v>410</v>
      </c>
      <c r="E27" s="159">
        <v>0.01</v>
      </c>
      <c r="F27" s="159">
        <v>4.7999999999999996E-3</v>
      </c>
      <c r="G27" s="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20.25" customHeight="1" x14ac:dyDescent="0.25">
      <c r="A28" s="4"/>
      <c r="B28" s="157">
        <v>4</v>
      </c>
      <c r="C28" s="158" t="s">
        <v>411</v>
      </c>
      <c r="D28" s="157" t="s">
        <v>412</v>
      </c>
      <c r="E28" s="159">
        <v>1.23E-2</v>
      </c>
      <c r="F28" s="159">
        <v>8.5000000000000006E-3</v>
      </c>
      <c r="G28" s="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20.25" customHeight="1" x14ac:dyDescent="0.25">
      <c r="A29" s="4"/>
      <c r="B29" s="157">
        <v>5</v>
      </c>
      <c r="C29" s="158" t="s">
        <v>413</v>
      </c>
      <c r="D29" s="157" t="s">
        <v>349</v>
      </c>
      <c r="E29" s="159">
        <v>7.2800000000000004E-2</v>
      </c>
      <c r="F29" s="159">
        <v>3.5000000000000003E-2</v>
      </c>
      <c r="G29" s="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20.25" customHeight="1" x14ac:dyDescent="0.25">
      <c r="A30" s="4"/>
      <c r="B30" s="157">
        <v>6</v>
      </c>
      <c r="C30" s="158" t="s">
        <v>414</v>
      </c>
      <c r="D30" s="157" t="s">
        <v>415</v>
      </c>
      <c r="E30" s="159">
        <f t="shared" ref="E30:F30" si="0">SUM(E31:E34)</f>
        <v>7.1500000000000008E-2</v>
      </c>
      <c r="F30" s="159">
        <f t="shared" si="0"/>
        <v>7.1500000000000008E-2</v>
      </c>
      <c r="G30" s="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20.25" customHeight="1" x14ac:dyDescent="0.25">
      <c r="A31" s="4"/>
      <c r="B31" s="157" t="s">
        <v>416</v>
      </c>
      <c r="C31" s="158" t="s">
        <v>417</v>
      </c>
      <c r="D31" s="158"/>
      <c r="E31" s="159">
        <v>6.4999999999999997E-3</v>
      </c>
      <c r="F31" s="159">
        <v>6.4999999999999997E-3</v>
      </c>
      <c r="G31" s="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20.25" customHeight="1" x14ac:dyDescent="0.25">
      <c r="A32" s="4"/>
      <c r="B32" s="157" t="s">
        <v>418</v>
      </c>
      <c r="C32" s="158" t="s">
        <v>419</v>
      </c>
      <c r="D32" s="158"/>
      <c r="E32" s="159">
        <v>0.03</v>
      </c>
      <c r="F32" s="159">
        <v>0.03</v>
      </c>
      <c r="G32" s="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20.25" customHeight="1" x14ac:dyDescent="0.25">
      <c r="A33" s="4"/>
      <c r="B33" s="157" t="s">
        <v>420</v>
      </c>
      <c r="C33" s="158" t="s">
        <v>421</v>
      </c>
      <c r="D33" s="158"/>
      <c r="E33" s="159">
        <v>3.5000000000000003E-2</v>
      </c>
      <c r="F33" s="159">
        <v>3.5000000000000003E-2</v>
      </c>
      <c r="G33" s="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20.25" customHeight="1" x14ac:dyDescent="0.25">
      <c r="A34" s="4"/>
      <c r="B34" s="157" t="s">
        <v>422</v>
      </c>
      <c r="C34" s="158" t="s">
        <v>423</v>
      </c>
      <c r="D34" s="158"/>
      <c r="E34" s="159">
        <v>0</v>
      </c>
      <c r="F34" s="159">
        <v>0</v>
      </c>
      <c r="G34" s="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20.25" customHeight="1" x14ac:dyDescent="0.25">
      <c r="A35" s="4"/>
      <c r="B35" s="160"/>
      <c r="C35" s="161"/>
      <c r="D35" s="161"/>
      <c r="E35" s="159"/>
      <c r="F35" s="159"/>
      <c r="G35" s="4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20.25" customHeight="1" x14ac:dyDescent="0.25">
      <c r="A36" s="4"/>
      <c r="B36" s="366" t="s">
        <v>424</v>
      </c>
      <c r="C36" s="443"/>
      <c r="D36" s="367"/>
      <c r="E36" s="70">
        <f t="shared" ref="E36:F36" si="1">((1+E25+E26+E27)*(1+E28)*(1+E29)/(1-E30))-1</f>
        <v>0.24880703423586414</v>
      </c>
      <c r="F36" s="70">
        <f t="shared" si="1"/>
        <v>0.15599027382875574</v>
      </c>
      <c r="G36" s="4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6" customHeight="1" x14ac:dyDescent="0.25">
      <c r="A37" s="4"/>
      <c r="B37" s="65"/>
      <c r="C37" s="65"/>
      <c r="D37" s="65"/>
      <c r="E37" s="162"/>
      <c r="F37" s="162"/>
      <c r="G37" s="4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6" customHeight="1" x14ac:dyDescent="0.25">
      <c r="A38" s="4"/>
      <c r="B38" s="65"/>
      <c r="C38" s="65"/>
      <c r="D38" s="65"/>
      <c r="E38" s="162"/>
      <c r="F38" s="162"/>
      <c r="G38" s="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20.25" customHeight="1" x14ac:dyDescent="0.25">
      <c r="A39" s="4"/>
      <c r="B39" s="66" t="s">
        <v>425</v>
      </c>
      <c r="C39" s="48"/>
      <c r="D39" s="48"/>
      <c r="E39" s="48"/>
      <c r="F39" s="48"/>
      <c r="G39" s="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20.25" customHeight="1" x14ac:dyDescent="0.25">
      <c r="A40" s="4"/>
      <c r="B40" s="32" t="s">
        <v>426</v>
      </c>
      <c r="C40" s="444" t="s">
        <v>427</v>
      </c>
      <c r="D40" s="350"/>
      <c r="E40" s="350"/>
      <c r="F40" s="350"/>
      <c r="G40" s="4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20.25" customHeight="1" x14ac:dyDescent="0.25">
      <c r="A41" s="4"/>
      <c r="B41" s="32" t="s">
        <v>428</v>
      </c>
      <c r="C41" s="444" t="s">
        <v>429</v>
      </c>
      <c r="D41" s="350"/>
      <c r="E41" s="350"/>
      <c r="F41" s="350"/>
      <c r="G41" s="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x14ac:dyDescent="0.25">
      <c r="A42" s="4"/>
      <c r="B42" s="32"/>
      <c r="C42" s="445"/>
      <c r="D42" s="350"/>
      <c r="E42" s="350"/>
      <c r="F42" s="350"/>
      <c r="G42" s="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20.25" customHeight="1" x14ac:dyDescent="0.25">
      <c r="A43" s="4"/>
      <c r="B43" s="32"/>
      <c r="C43" s="48"/>
      <c r="D43" s="164"/>
      <c r="E43" s="164"/>
      <c r="F43" s="164"/>
      <c r="G43" s="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20.25" customHeight="1" x14ac:dyDescent="0.25">
      <c r="A44" s="4"/>
      <c r="B44" s="66" t="s">
        <v>430</v>
      </c>
      <c r="C44" s="48"/>
      <c r="D44" s="48"/>
      <c r="E44" s="48"/>
      <c r="F44" s="48"/>
      <c r="G44" s="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20.25" customHeight="1" x14ac:dyDescent="0.25">
      <c r="A45" s="4"/>
      <c r="B45" s="32" t="s">
        <v>426</v>
      </c>
      <c r="C45" s="444" t="s">
        <v>431</v>
      </c>
      <c r="D45" s="350"/>
      <c r="E45" s="350"/>
      <c r="F45" s="350"/>
      <c r="G45" s="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20.25" customHeight="1" x14ac:dyDescent="0.25">
      <c r="A46" s="4"/>
      <c r="B46" s="32" t="s">
        <v>428</v>
      </c>
      <c r="C46" s="444" t="s">
        <v>432</v>
      </c>
      <c r="D46" s="350"/>
      <c r="E46" s="350"/>
      <c r="F46" s="350"/>
      <c r="G46" s="4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20.25" customHeight="1" x14ac:dyDescent="0.25">
      <c r="A47" s="4"/>
      <c r="B47" s="4"/>
      <c r="C47" s="4"/>
      <c r="D47" s="4"/>
      <c r="E47" s="4"/>
      <c r="F47" s="165"/>
      <c r="G47" s="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20.25" customHeight="1" x14ac:dyDescent="0.25">
      <c r="A48" s="4"/>
      <c r="B48" s="438" t="s">
        <v>14</v>
      </c>
      <c r="C48" s="347"/>
      <c r="D48" s="347"/>
      <c r="E48" s="347"/>
      <c r="F48" s="348"/>
      <c r="G48" s="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20.25" customHeight="1" x14ac:dyDescent="0.25">
      <c r="A49" s="4"/>
      <c r="B49" s="349"/>
      <c r="C49" s="350"/>
      <c r="D49" s="350"/>
      <c r="E49" s="350"/>
      <c r="F49" s="351"/>
      <c r="G49" s="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20.25" customHeight="1" x14ac:dyDescent="0.25">
      <c r="A50" s="4"/>
      <c r="B50" s="349"/>
      <c r="C50" s="350"/>
      <c r="D50" s="350"/>
      <c r="E50" s="350"/>
      <c r="F50" s="351"/>
      <c r="G50" s="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20.25" customHeight="1" x14ac:dyDescent="0.25">
      <c r="A51" s="4"/>
      <c r="B51" s="349"/>
      <c r="C51" s="350"/>
      <c r="D51" s="350"/>
      <c r="E51" s="350"/>
      <c r="F51" s="351"/>
      <c r="G51" s="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20.25" customHeight="1" x14ac:dyDescent="0.3">
      <c r="A52" s="4"/>
      <c r="B52" s="359" t="str">
        <f>'DADOS GERAIS'!C24</f>
        <v>Gerrard Tayon Ferreira Lopo</v>
      </c>
      <c r="C52" s="350"/>
      <c r="D52" s="350"/>
      <c r="E52" s="350"/>
      <c r="F52" s="351"/>
      <c r="G52" s="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20.25" customHeight="1" x14ac:dyDescent="0.25">
      <c r="A53" s="4"/>
      <c r="B53" s="439" t="str">
        <f>'DADOS GERAIS'!C25</f>
        <v>Engenheiro Civil  - CREA MG 289963</v>
      </c>
      <c r="C53" s="350"/>
      <c r="D53" s="350"/>
      <c r="E53" s="350"/>
      <c r="F53" s="351"/>
      <c r="G53" s="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20.25" customHeight="1" x14ac:dyDescent="0.25">
      <c r="A54" s="4"/>
      <c r="B54" s="166"/>
      <c r="C54" s="167"/>
      <c r="D54" s="167"/>
      <c r="E54" s="167"/>
      <c r="F54" s="168"/>
      <c r="G54" s="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5.75" customHeight="1" x14ac:dyDescent="0.25">
      <c r="A55" s="4"/>
      <c r="B55" s="91"/>
      <c r="C55" s="42"/>
      <c r="D55" s="42"/>
      <c r="E55" s="42"/>
      <c r="F55" s="43"/>
      <c r="G55" s="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20.25" customHeight="1" x14ac:dyDescent="0.25">
      <c r="A56" s="4"/>
      <c r="B56" s="4"/>
      <c r="C56" s="4"/>
      <c r="D56" s="4"/>
      <c r="E56" s="4"/>
      <c r="F56" s="4"/>
      <c r="G56" s="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5.75" customHeight="1" x14ac:dyDescent="0.2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5.75" customHeight="1" x14ac:dyDescent="0.2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5.75" customHeight="1" x14ac:dyDescent="0.25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5.75" customHeight="1" x14ac:dyDescent="0.25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5.75" customHeight="1" x14ac:dyDescent="0.25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5.75" customHeight="1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5.75" customHeight="1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5.75" customHeight="1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5.75" customHeight="1" x14ac:dyDescent="0.25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5.75" customHeight="1" x14ac:dyDescent="0.2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5.75" customHeight="1" x14ac:dyDescent="0.25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5.75" customHeight="1" x14ac:dyDescent="0.25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5.75" customHeight="1" x14ac:dyDescent="0.25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5.75" customHeight="1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5.75" customHeight="1" x14ac:dyDescent="0.25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5.75" customHeight="1" x14ac:dyDescent="0.25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5.75" customHeight="1" x14ac:dyDescent="0.2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5.75" customHeight="1" x14ac:dyDescent="0.25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5.75" customHeight="1" x14ac:dyDescent="0.2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5.75" customHeight="1" x14ac:dyDescent="0.2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5.75" customHeight="1" x14ac:dyDescent="0.2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5.75" customHeight="1" x14ac:dyDescent="0.2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5.75" customHeight="1" x14ac:dyDescent="0.2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5.75" customHeight="1" x14ac:dyDescent="0.2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5.75" customHeight="1" x14ac:dyDescent="0.2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5.75" customHeight="1" x14ac:dyDescent="0.2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5.75" customHeight="1" x14ac:dyDescent="0.2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5.75" customHeight="1" x14ac:dyDescent="0.2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5.75" customHeight="1" x14ac:dyDescent="0.2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5.75" customHeight="1" x14ac:dyDescent="0.2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5.75" customHeight="1" x14ac:dyDescent="0.2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5.75" customHeight="1" x14ac:dyDescent="0.2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5.75" customHeight="1" x14ac:dyDescent="0.2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5.75" customHeight="1" x14ac:dyDescent="0.2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5.75" customHeight="1" x14ac:dyDescent="0.2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5.75" customHeight="1" x14ac:dyDescent="0.2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5.75" customHeight="1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5.75" customHeight="1" x14ac:dyDescent="0.2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5.75" customHeight="1" x14ac:dyDescent="0.2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5.75" customHeight="1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5.75" customHeight="1" x14ac:dyDescent="0.2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5.75" customHeight="1" x14ac:dyDescent="0.2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5.75" customHeight="1" x14ac:dyDescent="0.2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5.75" customHeight="1" x14ac:dyDescent="0.2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5.75" customHeight="1" x14ac:dyDescent="0.2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5.75" customHeight="1" x14ac:dyDescent="0.2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5.75" customHeight="1" x14ac:dyDescent="0.2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5.75" customHeight="1" x14ac:dyDescent="0.2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5.75" customHeight="1" x14ac:dyDescent="0.2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5.75" customHeight="1" x14ac:dyDescent="0.2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5.75" customHeight="1" x14ac:dyDescent="0.2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5.75" customHeight="1" x14ac:dyDescent="0.2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5.75" customHeight="1" x14ac:dyDescent="0.2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5.75" customHeight="1" x14ac:dyDescent="0.2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5.75" customHeight="1" x14ac:dyDescent="0.2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5.75" customHeight="1" x14ac:dyDescent="0.2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5.75" customHeight="1" x14ac:dyDescent="0.25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5.75" customHeight="1" x14ac:dyDescent="0.25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5.75" customHeight="1" x14ac:dyDescent="0.2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5.75" customHeight="1" x14ac:dyDescent="0.2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5.75" customHeight="1" x14ac:dyDescent="0.2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5.75" customHeight="1" x14ac:dyDescent="0.2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5.75" customHeight="1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5.75" customHeight="1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5.75" customHeight="1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5.75" customHeight="1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5.75" customHeight="1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5.75" customHeight="1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5.75" customHeight="1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5.75" customHeight="1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5.75" customHeight="1" x14ac:dyDescent="0.2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5.75" customHeight="1" x14ac:dyDescent="0.2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5.75" customHeight="1" x14ac:dyDescent="0.2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5.75" customHeight="1" x14ac:dyDescent="0.2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5.75" customHeight="1" x14ac:dyDescent="0.2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5.75" customHeight="1" x14ac:dyDescent="0.2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5.75" customHeight="1" x14ac:dyDescent="0.2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5.75" customHeight="1" x14ac:dyDescent="0.2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5.75" customHeight="1" x14ac:dyDescent="0.2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5.75" customHeight="1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5.75" customHeight="1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5.75" customHeight="1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5.75" customHeight="1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5.75" customHeight="1" x14ac:dyDescent="0.2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5.75" customHeight="1" x14ac:dyDescent="0.2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5.75" customHeight="1" x14ac:dyDescent="0.2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5.75" customHeight="1" x14ac:dyDescent="0.2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5.75" customHeight="1" x14ac:dyDescent="0.2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5.75" customHeight="1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5.75" customHeight="1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5.75" customHeight="1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5.75" customHeight="1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5.75" customHeight="1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5.75" customHeight="1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5.75" customHeight="1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5.75" customHeight="1" x14ac:dyDescent="0.2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5.75" customHeight="1" x14ac:dyDescent="0.2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5.75" customHeight="1" x14ac:dyDescent="0.2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5.75" customHeight="1" x14ac:dyDescent="0.2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5.75" customHeight="1" x14ac:dyDescent="0.2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5.75" customHeight="1" x14ac:dyDescent="0.2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5.75" customHeight="1" x14ac:dyDescent="0.2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5.75" customHeight="1" x14ac:dyDescent="0.2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5.75" customHeight="1" x14ac:dyDescent="0.25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5.75" customHeight="1" x14ac:dyDescent="0.25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5.75" customHeight="1" x14ac:dyDescent="0.25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5.75" customHeight="1" x14ac:dyDescent="0.2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5.75" customHeight="1" x14ac:dyDescent="0.25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5.75" customHeight="1" x14ac:dyDescent="0.2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5.75" customHeight="1" x14ac:dyDescent="0.2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5.75" customHeight="1" x14ac:dyDescent="0.2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5.75" customHeight="1" x14ac:dyDescent="0.2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5.75" customHeight="1" x14ac:dyDescent="0.2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5.75" customHeight="1" x14ac:dyDescent="0.2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5.75" customHeight="1" x14ac:dyDescent="0.2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5.75" customHeight="1" x14ac:dyDescent="0.2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5.75" customHeight="1" x14ac:dyDescent="0.2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5.75" customHeight="1" x14ac:dyDescent="0.2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5.75" customHeight="1" x14ac:dyDescent="0.2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5.75" customHeight="1" x14ac:dyDescent="0.2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5.75" customHeight="1" x14ac:dyDescent="0.25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5.75" customHeight="1" x14ac:dyDescent="0.25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5.75" customHeight="1" x14ac:dyDescent="0.25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5.75" customHeight="1" x14ac:dyDescent="0.25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5.75" customHeight="1" x14ac:dyDescent="0.25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5.75" customHeight="1" x14ac:dyDescent="0.2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5.75" customHeight="1" x14ac:dyDescent="0.25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5.75" customHeight="1" x14ac:dyDescent="0.25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5.75" customHeight="1" x14ac:dyDescent="0.25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5.75" customHeight="1" x14ac:dyDescent="0.25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5.75" customHeigh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5.75" customHeight="1" x14ac:dyDescent="0.25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5.75" customHeight="1" x14ac:dyDescent="0.25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5.75" customHeight="1" x14ac:dyDescent="0.25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5.75" customHeight="1" x14ac:dyDescent="0.25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5.75" customHeight="1" x14ac:dyDescent="0.25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5.75" customHeight="1" x14ac:dyDescent="0.25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5.75" customHeight="1" x14ac:dyDescent="0.25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5.75" customHeight="1" x14ac:dyDescent="0.25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5.75" customHeight="1" x14ac:dyDescent="0.25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5.75" customHeight="1" x14ac:dyDescent="0.25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5.75" customHeight="1" x14ac:dyDescent="0.25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5.75" customHeight="1" x14ac:dyDescent="0.25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5.75" customHeight="1" x14ac:dyDescent="0.25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5.75" customHeight="1" x14ac:dyDescent="0.25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5.75" customHeight="1" x14ac:dyDescent="0.25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5.75" customHeight="1" x14ac:dyDescent="0.25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5.75" customHeight="1" x14ac:dyDescent="0.25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5.75" customHeight="1" x14ac:dyDescent="0.25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5.75" customHeight="1" x14ac:dyDescent="0.25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5.75" customHeight="1" x14ac:dyDescent="0.25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5.75" customHeight="1" x14ac:dyDescent="0.25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5.75" customHeight="1" x14ac:dyDescent="0.25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5.75" customHeight="1" x14ac:dyDescent="0.25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5.75" customHeight="1" x14ac:dyDescent="0.25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5.75" customHeight="1" x14ac:dyDescent="0.25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5.75" customHeight="1" x14ac:dyDescent="0.25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5.75" customHeight="1" x14ac:dyDescent="0.25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5.75" customHeight="1" x14ac:dyDescent="0.25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5.75" customHeight="1" x14ac:dyDescent="0.25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5.75" customHeight="1" x14ac:dyDescent="0.25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5.75" customHeight="1" x14ac:dyDescent="0.25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5.75" customHeight="1" x14ac:dyDescent="0.25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5.75" customHeight="1" x14ac:dyDescent="0.25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5.75" customHeight="1" x14ac:dyDescent="0.25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5.75" customHeight="1" x14ac:dyDescent="0.25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5.75" customHeight="1" x14ac:dyDescent="0.25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5.75" customHeight="1" x14ac:dyDescent="0.25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5.75" customHeight="1" x14ac:dyDescent="0.25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5.75" customHeight="1" x14ac:dyDescent="0.2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5.75" customHeight="1" x14ac:dyDescent="0.2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5.75" customHeight="1" x14ac:dyDescent="0.25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5.75" customHeight="1" x14ac:dyDescent="0.25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5.75" customHeight="1" x14ac:dyDescent="0.25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5.75" customHeight="1" x14ac:dyDescent="0.25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5.75" customHeight="1" x14ac:dyDescent="0.25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5.75" customHeight="1" x14ac:dyDescent="0.25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5.75" customHeight="1" x14ac:dyDescent="0.25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5.75" customHeight="1" x14ac:dyDescent="0.25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5.75" customHeight="1" x14ac:dyDescent="0.25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5.75" customHeight="1" x14ac:dyDescent="0.25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5.75" customHeight="1" x14ac:dyDescent="0.25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5.75" customHeight="1" x14ac:dyDescent="0.25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5.75" customHeight="1" x14ac:dyDescent="0.25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5.75" customHeight="1" x14ac:dyDescent="0.25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5.75" customHeight="1" x14ac:dyDescent="0.25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5.75" customHeight="1" x14ac:dyDescent="0.25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5.75" customHeight="1" x14ac:dyDescent="0.25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5.75" customHeight="1" x14ac:dyDescent="0.25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5.75" customHeight="1" x14ac:dyDescent="0.25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5.75" customHeight="1" x14ac:dyDescent="0.25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5.75" customHeight="1" x14ac:dyDescent="0.25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5.75" customHeight="1" x14ac:dyDescent="0.25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5.75" customHeight="1" x14ac:dyDescent="0.25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5.75" customHeight="1" x14ac:dyDescent="0.25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5.75" customHeight="1" x14ac:dyDescent="0.25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5.75" customHeight="1" x14ac:dyDescent="0.25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5.75" customHeight="1" x14ac:dyDescent="0.25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5.75" customHeight="1" x14ac:dyDescent="0.25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5.75" customHeight="1" x14ac:dyDescent="0.25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5.75" customHeight="1" x14ac:dyDescent="0.25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5.75" customHeight="1" x14ac:dyDescent="0.25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5.75" customHeight="1" x14ac:dyDescent="0.25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5.75" customHeight="1" x14ac:dyDescent="0.25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5.75" customHeight="1" x14ac:dyDescent="0.25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5.75" customHeight="1" x14ac:dyDescent="0.25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5.75" customHeight="1" x14ac:dyDescent="0.25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5.75" customHeight="1" x14ac:dyDescent="0.25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5.75" customHeight="1" x14ac:dyDescent="0.25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5.75" customHeight="1" x14ac:dyDescent="0.25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5.75" customHeight="1" x14ac:dyDescent="0.25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5.75" customHeight="1" x14ac:dyDescent="0.25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5.75" customHeight="1" x14ac:dyDescent="0.25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5.75" customHeight="1" x14ac:dyDescent="0.25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5.75" customHeight="1" x14ac:dyDescent="0.25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5.75" customHeight="1" x14ac:dyDescent="0.25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5.75" customHeight="1" x14ac:dyDescent="0.2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5.75" customHeight="1" x14ac:dyDescent="0.2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5.75" customHeight="1" x14ac:dyDescent="0.2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5.75" customHeight="1" x14ac:dyDescent="0.2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5.75" customHeight="1" x14ac:dyDescent="0.2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5.75" customHeight="1" x14ac:dyDescent="0.2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5.75" customHeight="1" x14ac:dyDescent="0.2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5.75" customHeight="1" x14ac:dyDescent="0.2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5.75" customHeight="1" x14ac:dyDescent="0.2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5.75" customHeight="1" x14ac:dyDescent="0.25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5.75" customHeight="1" x14ac:dyDescent="0.2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5.75" customHeight="1" x14ac:dyDescent="0.2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5.75" customHeight="1" x14ac:dyDescent="0.2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5.75" customHeight="1" x14ac:dyDescent="0.2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5.75" customHeight="1" x14ac:dyDescent="0.2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5.75" customHeight="1" x14ac:dyDescent="0.2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5.75" customHeight="1" x14ac:dyDescent="0.2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5.75" customHeight="1" x14ac:dyDescent="0.2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5.75" customHeight="1" x14ac:dyDescent="0.2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5.75" customHeight="1" x14ac:dyDescent="0.2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5.75" customHeight="1" x14ac:dyDescent="0.25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5.75" customHeight="1" x14ac:dyDescent="0.25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5.75" customHeight="1" x14ac:dyDescent="0.25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5.75" customHeight="1" x14ac:dyDescent="0.25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5.75" customHeight="1" x14ac:dyDescent="0.25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5.75" customHeight="1" x14ac:dyDescent="0.25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5.75" customHeight="1" x14ac:dyDescent="0.25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5.75" customHeight="1" x14ac:dyDescent="0.25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5.75" customHeight="1" x14ac:dyDescent="0.25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5.75" customHeight="1" x14ac:dyDescent="0.25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5.75" customHeight="1" x14ac:dyDescent="0.25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5.75" customHeight="1" x14ac:dyDescent="0.25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5.75" customHeight="1" x14ac:dyDescent="0.25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5.75" customHeight="1" x14ac:dyDescent="0.25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5.75" customHeight="1" x14ac:dyDescent="0.25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5.75" customHeight="1" x14ac:dyDescent="0.25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5.75" customHeight="1" x14ac:dyDescent="0.25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5.75" customHeight="1" x14ac:dyDescent="0.25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5.75" customHeight="1" x14ac:dyDescent="0.2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5.75" customHeight="1" x14ac:dyDescent="0.2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5.75" customHeight="1" x14ac:dyDescent="0.2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5.75" customHeight="1" x14ac:dyDescent="0.2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5.75" customHeight="1" x14ac:dyDescent="0.2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5.75" customHeight="1" x14ac:dyDescent="0.2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5.75" customHeight="1" x14ac:dyDescent="0.2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5.75" customHeight="1" x14ac:dyDescent="0.2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5.75" customHeight="1" x14ac:dyDescent="0.2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5.75" customHeight="1" x14ac:dyDescent="0.2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5.75" customHeight="1" x14ac:dyDescent="0.25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5.75" customHeight="1" x14ac:dyDescent="0.25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5.75" customHeight="1" x14ac:dyDescent="0.25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5.75" customHeight="1" x14ac:dyDescent="0.25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5.75" customHeight="1" x14ac:dyDescent="0.25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5.75" customHeight="1" x14ac:dyDescent="0.25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5.75" customHeight="1" x14ac:dyDescent="0.25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5.75" customHeight="1" x14ac:dyDescent="0.25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5.75" customHeight="1" x14ac:dyDescent="0.25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5.75" customHeight="1" x14ac:dyDescent="0.25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5.75" customHeight="1" x14ac:dyDescent="0.25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5.75" customHeight="1" x14ac:dyDescent="0.25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5.75" customHeight="1" x14ac:dyDescent="0.25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5.75" customHeight="1" x14ac:dyDescent="0.25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5.75" customHeight="1" x14ac:dyDescent="0.25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5.75" customHeight="1" x14ac:dyDescent="0.25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5.75" customHeight="1" x14ac:dyDescent="0.25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5.75" customHeight="1" x14ac:dyDescent="0.25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5.75" customHeight="1" x14ac:dyDescent="0.25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5.75" customHeight="1" x14ac:dyDescent="0.25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5.75" customHeight="1" x14ac:dyDescent="0.25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5.75" customHeight="1" x14ac:dyDescent="0.25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5.75" customHeight="1" x14ac:dyDescent="0.25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5.75" customHeight="1" x14ac:dyDescent="0.25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5.75" customHeight="1" x14ac:dyDescent="0.25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5.75" customHeight="1" x14ac:dyDescent="0.25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5.75" customHeight="1" x14ac:dyDescent="0.25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5.75" customHeight="1" x14ac:dyDescent="0.25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5.75" customHeight="1" x14ac:dyDescent="0.25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5.75" customHeight="1" x14ac:dyDescent="0.25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5.75" customHeight="1" x14ac:dyDescent="0.25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5.75" customHeight="1" x14ac:dyDescent="0.25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5.75" customHeight="1" x14ac:dyDescent="0.25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5.75" customHeight="1" x14ac:dyDescent="0.25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5.75" customHeight="1" x14ac:dyDescent="0.25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5.75" customHeight="1" x14ac:dyDescent="0.25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5.75" customHeight="1" x14ac:dyDescent="0.2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5.75" customHeight="1" x14ac:dyDescent="0.25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5.75" customHeight="1" x14ac:dyDescent="0.25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5.75" customHeight="1" x14ac:dyDescent="0.25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5.75" customHeight="1" x14ac:dyDescent="0.25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5.75" customHeight="1" x14ac:dyDescent="0.25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5.75" customHeight="1" x14ac:dyDescent="0.25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5.75" customHeight="1" x14ac:dyDescent="0.25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5.75" customHeight="1" x14ac:dyDescent="0.25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5.75" customHeight="1" x14ac:dyDescent="0.25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5.75" customHeight="1" x14ac:dyDescent="0.25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5.75" customHeight="1" x14ac:dyDescent="0.25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5.75" customHeight="1" x14ac:dyDescent="0.25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5.75" customHeight="1" x14ac:dyDescent="0.25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5.75" customHeight="1" x14ac:dyDescent="0.25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5.75" customHeight="1" x14ac:dyDescent="0.25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5.75" customHeight="1" x14ac:dyDescent="0.25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5.75" customHeight="1" x14ac:dyDescent="0.25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5.75" customHeight="1" x14ac:dyDescent="0.25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5.75" customHeight="1" x14ac:dyDescent="0.25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5.75" customHeight="1" x14ac:dyDescent="0.25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5.75" customHeight="1" x14ac:dyDescent="0.25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5.75" customHeight="1" x14ac:dyDescent="0.25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5.75" customHeight="1" x14ac:dyDescent="0.25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5.75" customHeight="1" x14ac:dyDescent="0.25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5.75" customHeight="1" x14ac:dyDescent="0.25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5.75" customHeight="1" x14ac:dyDescent="0.25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5.75" customHeight="1" x14ac:dyDescent="0.25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5.75" customHeight="1" x14ac:dyDescent="0.25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5.75" customHeight="1" x14ac:dyDescent="0.25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5.75" customHeight="1" x14ac:dyDescent="0.25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5.75" customHeight="1" x14ac:dyDescent="0.25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5.75" customHeight="1" x14ac:dyDescent="0.25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5.75" customHeight="1" x14ac:dyDescent="0.25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5.75" customHeight="1" x14ac:dyDescent="0.25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5.75" customHeight="1" x14ac:dyDescent="0.25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5.75" customHeight="1" x14ac:dyDescent="0.25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5.75" customHeight="1" x14ac:dyDescent="0.25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5.75" customHeight="1" x14ac:dyDescent="0.25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5.75" customHeight="1" x14ac:dyDescent="0.25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5.75" customHeight="1" x14ac:dyDescent="0.25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5.75" customHeight="1" x14ac:dyDescent="0.25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5.75" customHeight="1" x14ac:dyDescent="0.25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5.75" customHeight="1" x14ac:dyDescent="0.25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5.75" customHeight="1" x14ac:dyDescent="0.25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5.75" customHeight="1" x14ac:dyDescent="0.25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5.75" customHeight="1" x14ac:dyDescent="0.25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5.75" customHeight="1" x14ac:dyDescent="0.25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5.75" customHeight="1" x14ac:dyDescent="0.25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5.75" customHeight="1" x14ac:dyDescent="0.25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5.75" customHeight="1" x14ac:dyDescent="0.25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5.75" customHeight="1" x14ac:dyDescent="0.25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5.75" customHeight="1" x14ac:dyDescent="0.25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5.75" customHeight="1" x14ac:dyDescent="0.25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5.75" customHeight="1" x14ac:dyDescent="0.25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5.75" customHeight="1" x14ac:dyDescent="0.25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5.75" customHeight="1" x14ac:dyDescent="0.25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5.75" customHeigh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5.75" customHeight="1" x14ac:dyDescent="0.2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5.75" customHeight="1" x14ac:dyDescent="0.25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5.75" customHeight="1" x14ac:dyDescent="0.25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5.75" customHeight="1" x14ac:dyDescent="0.25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5.75" customHeight="1" x14ac:dyDescent="0.25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5.75" customHeight="1" x14ac:dyDescent="0.25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5.75" customHeight="1" x14ac:dyDescent="0.25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5.75" customHeight="1" x14ac:dyDescent="0.25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5.75" customHeight="1" x14ac:dyDescent="0.25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5.75" customHeight="1" x14ac:dyDescent="0.25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5.75" customHeight="1" x14ac:dyDescent="0.25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5.75" customHeight="1" x14ac:dyDescent="0.25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5.75" customHeight="1" x14ac:dyDescent="0.25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5.75" customHeight="1" x14ac:dyDescent="0.25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5.75" customHeight="1" x14ac:dyDescent="0.25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5.75" customHeight="1" x14ac:dyDescent="0.25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5.75" customHeight="1" x14ac:dyDescent="0.25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5.75" customHeight="1" x14ac:dyDescent="0.25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5.75" customHeight="1" x14ac:dyDescent="0.2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5.75" customHeight="1" x14ac:dyDescent="0.2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5.75" customHeight="1" x14ac:dyDescent="0.2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5.75" customHeight="1" x14ac:dyDescent="0.2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5.75" customHeight="1" x14ac:dyDescent="0.2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5.75" customHeight="1" x14ac:dyDescent="0.2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5.75" customHeight="1" x14ac:dyDescent="0.25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5.75" customHeight="1" x14ac:dyDescent="0.25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5.75" customHeight="1" x14ac:dyDescent="0.25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5.75" customHeight="1" x14ac:dyDescent="0.25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5.75" customHeight="1" x14ac:dyDescent="0.25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5.75" customHeight="1" x14ac:dyDescent="0.25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5.75" customHeight="1" x14ac:dyDescent="0.25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5.75" customHeight="1" x14ac:dyDescent="0.25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5.75" customHeight="1" x14ac:dyDescent="0.25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5.75" customHeight="1" x14ac:dyDescent="0.25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5.75" customHeight="1" x14ac:dyDescent="0.25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5.75" customHeight="1" x14ac:dyDescent="0.25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5.75" customHeight="1" x14ac:dyDescent="0.25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5.75" customHeight="1" x14ac:dyDescent="0.25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5.75" customHeight="1" x14ac:dyDescent="0.25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5.75" customHeight="1" x14ac:dyDescent="0.25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5.75" customHeight="1" x14ac:dyDescent="0.25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5.75" customHeight="1" x14ac:dyDescent="0.25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5.75" customHeight="1" x14ac:dyDescent="0.2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5.75" customHeight="1" x14ac:dyDescent="0.2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5.75" customHeight="1" x14ac:dyDescent="0.2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5.75" customHeight="1" x14ac:dyDescent="0.2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5.75" customHeight="1" x14ac:dyDescent="0.2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5.75" customHeight="1" x14ac:dyDescent="0.2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5.75" customHeight="1" x14ac:dyDescent="0.2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5.75" customHeight="1" x14ac:dyDescent="0.2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5.75" customHeight="1" x14ac:dyDescent="0.25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5.75" customHeight="1" x14ac:dyDescent="0.25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5.75" customHeight="1" x14ac:dyDescent="0.25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5.75" customHeight="1" x14ac:dyDescent="0.25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5.75" customHeight="1" x14ac:dyDescent="0.25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5.75" customHeight="1" x14ac:dyDescent="0.25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5.75" customHeight="1" x14ac:dyDescent="0.25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5.75" customHeight="1" x14ac:dyDescent="0.25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5.75" customHeight="1" x14ac:dyDescent="0.25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5.75" customHeight="1" x14ac:dyDescent="0.25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5.75" customHeight="1" x14ac:dyDescent="0.25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5.75" customHeight="1" x14ac:dyDescent="0.25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5.75" customHeight="1" x14ac:dyDescent="0.25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5.75" customHeight="1" x14ac:dyDescent="0.25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5.75" customHeight="1" x14ac:dyDescent="0.25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5.75" customHeight="1" x14ac:dyDescent="0.25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5.75" customHeight="1" x14ac:dyDescent="0.25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5.75" customHeight="1" x14ac:dyDescent="0.25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5.75" customHeight="1" x14ac:dyDescent="0.25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5.75" customHeight="1" x14ac:dyDescent="0.25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5.75" customHeight="1" x14ac:dyDescent="0.25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5.75" customHeight="1" x14ac:dyDescent="0.25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5.75" customHeight="1" x14ac:dyDescent="0.25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5.75" customHeight="1" x14ac:dyDescent="0.25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5.75" customHeight="1" x14ac:dyDescent="0.25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5.75" customHeight="1" x14ac:dyDescent="0.25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5.75" customHeight="1" x14ac:dyDescent="0.25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5.75" customHeight="1" x14ac:dyDescent="0.25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5.75" customHeight="1" x14ac:dyDescent="0.25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5.75" customHeight="1" x14ac:dyDescent="0.25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5.75" customHeight="1" x14ac:dyDescent="0.25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5.75" customHeight="1" x14ac:dyDescent="0.25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5.75" customHeight="1" x14ac:dyDescent="0.25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5.75" customHeight="1" x14ac:dyDescent="0.25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5.75" customHeight="1" x14ac:dyDescent="0.25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5.75" customHeight="1" x14ac:dyDescent="0.25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5.75" customHeight="1" x14ac:dyDescent="0.25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5.75" customHeight="1" x14ac:dyDescent="0.25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5.75" customHeight="1" x14ac:dyDescent="0.25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5.75" customHeight="1" x14ac:dyDescent="0.25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5.75" customHeight="1" x14ac:dyDescent="0.25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5.75" customHeight="1" x14ac:dyDescent="0.25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5.75" customHeight="1" x14ac:dyDescent="0.25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5.75" customHeight="1" x14ac:dyDescent="0.25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5.75" customHeight="1" x14ac:dyDescent="0.25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5.75" customHeight="1" x14ac:dyDescent="0.25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5.75" customHeight="1" x14ac:dyDescent="0.25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5.75" customHeight="1" x14ac:dyDescent="0.25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5.75" customHeight="1" x14ac:dyDescent="0.25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5.75" customHeight="1" x14ac:dyDescent="0.25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5.75" customHeight="1" x14ac:dyDescent="0.25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5.75" customHeight="1" x14ac:dyDescent="0.25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5.75" customHeight="1" x14ac:dyDescent="0.25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5.75" customHeight="1" x14ac:dyDescent="0.25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5.75" customHeight="1" x14ac:dyDescent="0.25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5.75" customHeight="1" x14ac:dyDescent="0.25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5.75" customHeight="1" x14ac:dyDescent="0.25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5.75" customHeight="1" x14ac:dyDescent="0.25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5.75" customHeight="1" x14ac:dyDescent="0.25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5.75" customHeight="1" x14ac:dyDescent="0.25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5.75" customHeight="1" x14ac:dyDescent="0.25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5.75" customHeight="1" x14ac:dyDescent="0.25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5.75" customHeight="1" x14ac:dyDescent="0.25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5.75" customHeight="1" x14ac:dyDescent="0.25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5.75" customHeight="1" x14ac:dyDescent="0.25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5.75" customHeight="1" x14ac:dyDescent="0.25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5.75" customHeight="1" x14ac:dyDescent="0.25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5.75" customHeight="1" x14ac:dyDescent="0.25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5.75" customHeight="1" x14ac:dyDescent="0.25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5.75" customHeight="1" x14ac:dyDescent="0.25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5.75" customHeight="1" x14ac:dyDescent="0.25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5.75" customHeight="1" x14ac:dyDescent="0.25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5.75" customHeight="1" x14ac:dyDescent="0.25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5.75" customHeight="1" x14ac:dyDescent="0.25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5.75" customHeight="1" x14ac:dyDescent="0.25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5.75" customHeight="1" x14ac:dyDescent="0.25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5.75" customHeight="1" x14ac:dyDescent="0.25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5.75" customHeight="1" x14ac:dyDescent="0.25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5.75" customHeight="1" x14ac:dyDescent="0.25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5.75" customHeight="1" x14ac:dyDescent="0.25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5.75" customHeight="1" x14ac:dyDescent="0.25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5.75" customHeight="1" x14ac:dyDescent="0.25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5.75" customHeight="1" x14ac:dyDescent="0.25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5.75" customHeight="1" x14ac:dyDescent="0.25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5.75" customHeight="1" x14ac:dyDescent="0.25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5.75" customHeight="1" x14ac:dyDescent="0.25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5.75" customHeight="1" x14ac:dyDescent="0.25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5.75" customHeight="1" x14ac:dyDescent="0.25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5.75" customHeight="1" x14ac:dyDescent="0.25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5.75" customHeight="1" x14ac:dyDescent="0.25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5.75" customHeight="1" x14ac:dyDescent="0.25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5.75" customHeight="1" x14ac:dyDescent="0.25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5.75" customHeight="1" x14ac:dyDescent="0.25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5.75" customHeight="1" x14ac:dyDescent="0.25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5.75" customHeight="1" x14ac:dyDescent="0.25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5.75" customHeight="1" x14ac:dyDescent="0.25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5.75" customHeight="1" x14ac:dyDescent="0.25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5.75" customHeight="1" x14ac:dyDescent="0.25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5.75" customHeight="1" x14ac:dyDescent="0.25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5.75" customHeight="1" x14ac:dyDescent="0.25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5.75" customHeight="1" x14ac:dyDescent="0.25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5.75" customHeight="1" x14ac:dyDescent="0.25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5.75" customHeight="1" x14ac:dyDescent="0.25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5.75" customHeight="1" x14ac:dyDescent="0.25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5.75" customHeight="1" x14ac:dyDescent="0.25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5.75" customHeight="1" x14ac:dyDescent="0.25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5.75" customHeight="1" x14ac:dyDescent="0.25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5.75" customHeight="1" x14ac:dyDescent="0.25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5.75" customHeight="1" x14ac:dyDescent="0.25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5.75" customHeight="1" x14ac:dyDescent="0.25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5.75" customHeight="1" x14ac:dyDescent="0.25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5.75" customHeight="1" x14ac:dyDescent="0.25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5.75" customHeight="1" x14ac:dyDescent="0.25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5.75" customHeight="1" x14ac:dyDescent="0.25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5.75" customHeight="1" x14ac:dyDescent="0.25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5.75" customHeight="1" x14ac:dyDescent="0.25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5.75" customHeight="1" x14ac:dyDescent="0.25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5.75" customHeight="1" x14ac:dyDescent="0.25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5.75" customHeight="1" x14ac:dyDescent="0.25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5.75" customHeight="1" x14ac:dyDescent="0.25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5.75" customHeight="1" x14ac:dyDescent="0.25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5.75" customHeight="1" x14ac:dyDescent="0.25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5.75" customHeight="1" x14ac:dyDescent="0.25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5.75" customHeight="1" x14ac:dyDescent="0.25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5.75" customHeight="1" x14ac:dyDescent="0.25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5.75" customHeight="1" x14ac:dyDescent="0.25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5.75" customHeight="1" x14ac:dyDescent="0.25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5.75" customHeight="1" x14ac:dyDescent="0.25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5.75" customHeight="1" x14ac:dyDescent="0.25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5.75" customHeight="1" x14ac:dyDescent="0.25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5.75" customHeight="1" x14ac:dyDescent="0.25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5.75" customHeight="1" x14ac:dyDescent="0.25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5.75" customHeight="1" x14ac:dyDescent="0.25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5.75" customHeight="1" x14ac:dyDescent="0.25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5.75" customHeight="1" x14ac:dyDescent="0.25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5.75" customHeight="1" x14ac:dyDescent="0.25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5.75" customHeight="1" x14ac:dyDescent="0.25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5.75" customHeight="1" x14ac:dyDescent="0.25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5.75" customHeight="1" x14ac:dyDescent="0.25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5.75" customHeight="1" x14ac:dyDescent="0.25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5.75" customHeight="1" x14ac:dyDescent="0.25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5.75" customHeight="1" x14ac:dyDescent="0.25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5.75" customHeight="1" x14ac:dyDescent="0.25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5.75" customHeight="1" x14ac:dyDescent="0.25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5.75" customHeight="1" x14ac:dyDescent="0.25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5.75" customHeight="1" x14ac:dyDescent="0.25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5.75" customHeight="1" x14ac:dyDescent="0.25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5.75" customHeight="1" x14ac:dyDescent="0.25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5.75" customHeight="1" x14ac:dyDescent="0.25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5.75" customHeight="1" x14ac:dyDescent="0.25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5.75" customHeight="1" x14ac:dyDescent="0.25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5.75" customHeight="1" x14ac:dyDescent="0.25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5.75" customHeight="1" x14ac:dyDescent="0.25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5.75" customHeight="1" x14ac:dyDescent="0.25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5.75" customHeight="1" x14ac:dyDescent="0.25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5.75" customHeight="1" x14ac:dyDescent="0.25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5.75" customHeight="1" x14ac:dyDescent="0.25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5.75" customHeight="1" x14ac:dyDescent="0.25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5.75" customHeight="1" x14ac:dyDescent="0.25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5.75" customHeight="1" x14ac:dyDescent="0.25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5.75" customHeight="1" x14ac:dyDescent="0.25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5.75" customHeight="1" x14ac:dyDescent="0.25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5.75" customHeight="1" x14ac:dyDescent="0.25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5.75" customHeight="1" x14ac:dyDescent="0.25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5.75" customHeight="1" x14ac:dyDescent="0.25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5.75" customHeight="1" x14ac:dyDescent="0.25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5.75" customHeight="1" x14ac:dyDescent="0.25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5.75" customHeight="1" x14ac:dyDescent="0.25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5.75" customHeight="1" x14ac:dyDescent="0.25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5.75" customHeight="1" x14ac:dyDescent="0.25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5.75" customHeight="1" x14ac:dyDescent="0.25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5.75" customHeight="1" x14ac:dyDescent="0.25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5.75" customHeight="1" x14ac:dyDescent="0.25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5.75" customHeight="1" x14ac:dyDescent="0.25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5.75" customHeight="1" x14ac:dyDescent="0.25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5.75" customHeight="1" x14ac:dyDescent="0.25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5.75" customHeight="1" x14ac:dyDescent="0.25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5.75" customHeight="1" x14ac:dyDescent="0.25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5.75" customHeight="1" x14ac:dyDescent="0.25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5.75" customHeight="1" x14ac:dyDescent="0.25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5.75" customHeight="1" x14ac:dyDescent="0.25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5.75" customHeight="1" x14ac:dyDescent="0.25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5.75" customHeight="1" x14ac:dyDescent="0.25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5.75" customHeight="1" x14ac:dyDescent="0.25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5.75" customHeight="1" x14ac:dyDescent="0.25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5.75" customHeight="1" x14ac:dyDescent="0.25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5.75" customHeight="1" x14ac:dyDescent="0.25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5.75" customHeight="1" x14ac:dyDescent="0.25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5.75" customHeight="1" x14ac:dyDescent="0.25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5.75" customHeight="1" x14ac:dyDescent="0.25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5.75" customHeight="1" x14ac:dyDescent="0.25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5.75" customHeight="1" x14ac:dyDescent="0.25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5.75" customHeight="1" x14ac:dyDescent="0.25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5.75" customHeight="1" x14ac:dyDescent="0.25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5.75" customHeight="1" x14ac:dyDescent="0.25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5.75" customHeight="1" x14ac:dyDescent="0.25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5.75" customHeight="1" x14ac:dyDescent="0.25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5.75" customHeight="1" x14ac:dyDescent="0.25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5.75" customHeight="1" x14ac:dyDescent="0.25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5.75" customHeight="1" x14ac:dyDescent="0.25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5.75" customHeight="1" x14ac:dyDescent="0.25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5.75" customHeight="1" x14ac:dyDescent="0.25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5.75" customHeight="1" x14ac:dyDescent="0.25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5.75" customHeight="1" x14ac:dyDescent="0.25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5.75" customHeight="1" x14ac:dyDescent="0.25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5.75" customHeight="1" x14ac:dyDescent="0.25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5.75" customHeight="1" x14ac:dyDescent="0.25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5.75" customHeight="1" x14ac:dyDescent="0.25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5.75" customHeight="1" x14ac:dyDescent="0.25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5.75" customHeight="1" x14ac:dyDescent="0.25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5.75" customHeight="1" x14ac:dyDescent="0.25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5.75" customHeight="1" x14ac:dyDescent="0.25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5.75" customHeight="1" x14ac:dyDescent="0.25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5.75" customHeight="1" x14ac:dyDescent="0.25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5.75" customHeight="1" x14ac:dyDescent="0.25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5.75" customHeight="1" x14ac:dyDescent="0.25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5.75" customHeight="1" x14ac:dyDescent="0.25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5.75" customHeight="1" x14ac:dyDescent="0.25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5.75" customHeight="1" x14ac:dyDescent="0.25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5.75" customHeight="1" x14ac:dyDescent="0.25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5.75" customHeight="1" x14ac:dyDescent="0.25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5.75" customHeight="1" x14ac:dyDescent="0.25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5.75" customHeight="1" x14ac:dyDescent="0.25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5.75" customHeight="1" x14ac:dyDescent="0.25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5.75" customHeight="1" x14ac:dyDescent="0.25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5.75" customHeight="1" x14ac:dyDescent="0.25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5.75" customHeight="1" x14ac:dyDescent="0.25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5.75" customHeight="1" x14ac:dyDescent="0.25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5.75" customHeight="1" x14ac:dyDescent="0.25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5.75" customHeight="1" x14ac:dyDescent="0.25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5.75" customHeight="1" x14ac:dyDescent="0.25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5.75" customHeight="1" x14ac:dyDescent="0.25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5.75" customHeight="1" x14ac:dyDescent="0.25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5.75" customHeight="1" x14ac:dyDescent="0.25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5.75" customHeight="1" x14ac:dyDescent="0.25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5.75" customHeight="1" x14ac:dyDescent="0.25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5.75" customHeight="1" x14ac:dyDescent="0.25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5.75" customHeight="1" x14ac:dyDescent="0.25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5.75" customHeight="1" x14ac:dyDescent="0.25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5.75" customHeight="1" x14ac:dyDescent="0.25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5.75" customHeight="1" x14ac:dyDescent="0.25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5.75" customHeight="1" x14ac:dyDescent="0.25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5.75" customHeight="1" x14ac:dyDescent="0.25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5.75" customHeight="1" x14ac:dyDescent="0.25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5.75" customHeight="1" x14ac:dyDescent="0.25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5.75" customHeight="1" x14ac:dyDescent="0.25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5.75" customHeight="1" x14ac:dyDescent="0.25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5.75" customHeight="1" x14ac:dyDescent="0.25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5.75" customHeight="1" x14ac:dyDescent="0.25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5.75" customHeight="1" x14ac:dyDescent="0.25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5.75" customHeight="1" x14ac:dyDescent="0.25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5.75" customHeight="1" x14ac:dyDescent="0.25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5.75" customHeight="1" x14ac:dyDescent="0.25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5.75" customHeight="1" x14ac:dyDescent="0.25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5.75" customHeight="1" x14ac:dyDescent="0.25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5.75" customHeight="1" x14ac:dyDescent="0.25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5.75" customHeight="1" x14ac:dyDescent="0.2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5.75" customHeight="1" x14ac:dyDescent="0.2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5.75" customHeight="1" x14ac:dyDescent="0.2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5.75" customHeight="1" x14ac:dyDescent="0.2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5.75" customHeight="1" x14ac:dyDescent="0.2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5.75" customHeight="1" x14ac:dyDescent="0.2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5.75" customHeight="1" x14ac:dyDescent="0.2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5.75" customHeight="1" x14ac:dyDescent="0.2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5.75" customHeight="1" x14ac:dyDescent="0.2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5.75" customHeight="1" x14ac:dyDescent="0.2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5.75" customHeight="1" x14ac:dyDescent="0.25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5.75" customHeight="1" x14ac:dyDescent="0.25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5.75" customHeight="1" x14ac:dyDescent="0.25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5.75" customHeight="1" x14ac:dyDescent="0.25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5.75" customHeight="1" x14ac:dyDescent="0.25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5.75" customHeight="1" x14ac:dyDescent="0.25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5.75" customHeight="1" x14ac:dyDescent="0.25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5.75" customHeight="1" x14ac:dyDescent="0.25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5.75" customHeight="1" x14ac:dyDescent="0.25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5.75" customHeight="1" x14ac:dyDescent="0.25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5.75" customHeight="1" x14ac:dyDescent="0.25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5.75" customHeight="1" x14ac:dyDescent="0.25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5.75" customHeight="1" x14ac:dyDescent="0.25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5.75" customHeight="1" x14ac:dyDescent="0.25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5.75" customHeight="1" x14ac:dyDescent="0.25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5.75" customHeight="1" x14ac:dyDescent="0.25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5.75" customHeight="1" x14ac:dyDescent="0.25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5.75" customHeight="1" x14ac:dyDescent="0.25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5.75" customHeight="1" x14ac:dyDescent="0.2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5.75" customHeight="1" x14ac:dyDescent="0.2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5.75" customHeight="1" x14ac:dyDescent="0.2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5.75" customHeight="1" x14ac:dyDescent="0.2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5.75" customHeight="1" x14ac:dyDescent="0.2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5.75" customHeight="1" x14ac:dyDescent="0.2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5.75" customHeight="1" x14ac:dyDescent="0.2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5.75" customHeight="1" x14ac:dyDescent="0.2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5.75" customHeight="1" x14ac:dyDescent="0.2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5.75" customHeight="1" x14ac:dyDescent="0.2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5.75" customHeight="1" x14ac:dyDescent="0.2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5.75" customHeight="1" x14ac:dyDescent="0.2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5.75" customHeight="1" x14ac:dyDescent="0.2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5.75" customHeight="1" x14ac:dyDescent="0.2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5.75" customHeight="1" x14ac:dyDescent="0.2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5.75" customHeight="1" x14ac:dyDescent="0.2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5.75" customHeight="1" x14ac:dyDescent="0.2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5.75" customHeight="1" x14ac:dyDescent="0.2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5.75" customHeight="1" x14ac:dyDescent="0.2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5.75" customHeight="1" x14ac:dyDescent="0.2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5.75" customHeight="1" x14ac:dyDescent="0.25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5.75" customHeight="1" x14ac:dyDescent="0.25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5.75" customHeight="1" x14ac:dyDescent="0.25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5.75" customHeight="1" x14ac:dyDescent="0.25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5.75" customHeight="1" x14ac:dyDescent="0.25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5.75" customHeight="1" x14ac:dyDescent="0.25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5.75" customHeight="1" x14ac:dyDescent="0.25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5.75" customHeight="1" x14ac:dyDescent="0.25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5.75" customHeight="1" x14ac:dyDescent="0.25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5.75" customHeight="1" x14ac:dyDescent="0.25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5.75" customHeight="1" x14ac:dyDescent="0.25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5.75" customHeight="1" x14ac:dyDescent="0.25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5.75" customHeight="1" x14ac:dyDescent="0.25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5.75" customHeight="1" x14ac:dyDescent="0.25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5.75" customHeight="1" x14ac:dyDescent="0.25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5.75" customHeight="1" x14ac:dyDescent="0.25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5.75" customHeight="1" x14ac:dyDescent="0.25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5.75" customHeight="1" x14ac:dyDescent="0.25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5.75" customHeight="1" x14ac:dyDescent="0.25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5.75" customHeight="1" x14ac:dyDescent="0.25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5.75" customHeight="1" x14ac:dyDescent="0.25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5.75" customHeight="1" x14ac:dyDescent="0.25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5.75" customHeight="1" x14ac:dyDescent="0.25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5.75" customHeight="1" x14ac:dyDescent="0.25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5.75" customHeight="1" x14ac:dyDescent="0.25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5.75" customHeight="1" x14ac:dyDescent="0.25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5.75" customHeight="1" x14ac:dyDescent="0.25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5.75" customHeight="1" x14ac:dyDescent="0.25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5.75" customHeight="1" x14ac:dyDescent="0.25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5.75" customHeight="1" x14ac:dyDescent="0.25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5.75" customHeight="1" x14ac:dyDescent="0.25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5.75" customHeight="1" x14ac:dyDescent="0.25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5.75" customHeight="1" x14ac:dyDescent="0.25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5.75" customHeight="1" x14ac:dyDescent="0.25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5.75" customHeight="1" x14ac:dyDescent="0.25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5.75" customHeight="1" x14ac:dyDescent="0.25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5.75" customHeight="1" x14ac:dyDescent="0.25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5.75" customHeight="1" x14ac:dyDescent="0.25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5.75" customHeight="1" x14ac:dyDescent="0.25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5.75" customHeight="1" x14ac:dyDescent="0.25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5.75" customHeight="1" x14ac:dyDescent="0.25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5.75" customHeight="1" x14ac:dyDescent="0.25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5.75" customHeight="1" x14ac:dyDescent="0.25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5.75" customHeight="1" x14ac:dyDescent="0.25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5.75" customHeight="1" x14ac:dyDescent="0.25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5.75" customHeight="1" x14ac:dyDescent="0.25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5.75" customHeight="1" x14ac:dyDescent="0.25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5.75" customHeight="1" x14ac:dyDescent="0.25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5.75" customHeight="1" x14ac:dyDescent="0.25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5.75" customHeight="1" x14ac:dyDescent="0.25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5.75" customHeight="1" x14ac:dyDescent="0.25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5.75" customHeight="1" x14ac:dyDescent="0.25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5.75" customHeight="1" x14ac:dyDescent="0.25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5.75" customHeight="1" x14ac:dyDescent="0.25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5.75" customHeight="1" x14ac:dyDescent="0.25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5.75" customHeight="1" x14ac:dyDescent="0.25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5.75" customHeight="1" x14ac:dyDescent="0.25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5.75" customHeight="1" x14ac:dyDescent="0.25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5.75" customHeight="1" x14ac:dyDescent="0.25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5.75" customHeight="1" x14ac:dyDescent="0.25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5.75" customHeight="1" x14ac:dyDescent="0.25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5.75" customHeight="1" x14ac:dyDescent="0.25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5.75" customHeight="1" x14ac:dyDescent="0.25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5.75" customHeight="1" x14ac:dyDescent="0.25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5.75" customHeight="1" x14ac:dyDescent="0.25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5.75" customHeight="1" x14ac:dyDescent="0.25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5.75" customHeight="1" x14ac:dyDescent="0.25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5.75" customHeight="1" x14ac:dyDescent="0.25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5.75" customHeight="1" x14ac:dyDescent="0.25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5.75" customHeight="1" x14ac:dyDescent="0.25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5.75" customHeight="1" x14ac:dyDescent="0.25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5.75" customHeight="1" x14ac:dyDescent="0.25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5.75" customHeight="1" x14ac:dyDescent="0.25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5.75" customHeight="1" x14ac:dyDescent="0.25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5.75" customHeight="1" x14ac:dyDescent="0.25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5.75" customHeight="1" x14ac:dyDescent="0.25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5.75" customHeight="1" x14ac:dyDescent="0.25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5.75" customHeight="1" x14ac:dyDescent="0.25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5.75" customHeight="1" x14ac:dyDescent="0.25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5.75" customHeight="1" x14ac:dyDescent="0.25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5.75" customHeight="1" x14ac:dyDescent="0.25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5.75" customHeight="1" x14ac:dyDescent="0.25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5.75" customHeight="1" x14ac:dyDescent="0.25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5.75" customHeight="1" x14ac:dyDescent="0.25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5.75" customHeight="1" x14ac:dyDescent="0.25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5.75" customHeight="1" x14ac:dyDescent="0.25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5.75" customHeight="1" x14ac:dyDescent="0.25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5.75" customHeight="1" x14ac:dyDescent="0.25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5.75" customHeight="1" x14ac:dyDescent="0.25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5.75" customHeight="1" x14ac:dyDescent="0.25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5.75" customHeight="1" x14ac:dyDescent="0.25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5.75" customHeight="1" x14ac:dyDescent="0.25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5.75" customHeight="1" x14ac:dyDescent="0.25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5.75" customHeight="1" x14ac:dyDescent="0.25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5.75" customHeight="1" x14ac:dyDescent="0.25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5.75" customHeight="1" x14ac:dyDescent="0.25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5.75" customHeight="1" x14ac:dyDescent="0.25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5.75" customHeight="1" x14ac:dyDescent="0.25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5.75" customHeight="1" x14ac:dyDescent="0.25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5.75" customHeight="1" x14ac:dyDescent="0.25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5.75" customHeight="1" x14ac:dyDescent="0.25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5.75" customHeight="1" x14ac:dyDescent="0.25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5.75" customHeight="1" x14ac:dyDescent="0.25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5.75" customHeight="1" x14ac:dyDescent="0.25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5.75" customHeight="1" x14ac:dyDescent="0.25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5.75" customHeight="1" x14ac:dyDescent="0.25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5.75" customHeight="1" x14ac:dyDescent="0.25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5.75" customHeight="1" x14ac:dyDescent="0.25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5.75" customHeight="1" x14ac:dyDescent="0.25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5.75" customHeight="1" x14ac:dyDescent="0.25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5.75" customHeight="1" x14ac:dyDescent="0.25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5.75" customHeight="1" x14ac:dyDescent="0.25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5.75" customHeight="1" x14ac:dyDescent="0.25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5.75" customHeight="1" x14ac:dyDescent="0.25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5.75" customHeight="1" x14ac:dyDescent="0.25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5.75" customHeight="1" x14ac:dyDescent="0.25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5.75" customHeight="1" x14ac:dyDescent="0.25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5.75" customHeight="1" x14ac:dyDescent="0.25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5.75" customHeight="1" x14ac:dyDescent="0.25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5.75" customHeight="1" x14ac:dyDescent="0.25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5.75" customHeight="1" x14ac:dyDescent="0.25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5.75" customHeight="1" x14ac:dyDescent="0.25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5.75" customHeight="1" x14ac:dyDescent="0.25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5.75" customHeight="1" x14ac:dyDescent="0.25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5.75" customHeight="1" x14ac:dyDescent="0.25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5.75" customHeight="1" x14ac:dyDescent="0.25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5.75" customHeight="1" x14ac:dyDescent="0.25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5.75" customHeight="1" x14ac:dyDescent="0.25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5.75" customHeight="1" x14ac:dyDescent="0.25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5.75" customHeight="1" x14ac:dyDescent="0.25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5.75" customHeight="1" x14ac:dyDescent="0.25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5.75" customHeight="1" x14ac:dyDescent="0.25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5.75" customHeight="1" x14ac:dyDescent="0.25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5.75" customHeight="1" x14ac:dyDescent="0.25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5.75" customHeight="1" x14ac:dyDescent="0.25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5.75" customHeight="1" x14ac:dyDescent="0.25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5.75" customHeight="1" x14ac:dyDescent="0.25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5.75" customHeight="1" x14ac:dyDescent="0.25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5.75" customHeight="1" x14ac:dyDescent="0.25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5.75" customHeight="1" x14ac:dyDescent="0.25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5.75" customHeight="1" x14ac:dyDescent="0.25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5.75" customHeight="1" x14ac:dyDescent="0.25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5.75" customHeight="1" x14ac:dyDescent="0.25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5.75" customHeight="1" x14ac:dyDescent="0.25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5.75" customHeight="1" x14ac:dyDescent="0.25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5.75" customHeight="1" x14ac:dyDescent="0.25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5.75" customHeight="1" x14ac:dyDescent="0.25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5.75" customHeight="1" x14ac:dyDescent="0.25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5.75" customHeight="1" x14ac:dyDescent="0.25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5.75" customHeight="1" x14ac:dyDescent="0.25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5.75" customHeight="1" x14ac:dyDescent="0.25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5.75" customHeight="1" x14ac:dyDescent="0.25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5.75" customHeight="1" x14ac:dyDescent="0.25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5.75" customHeight="1" x14ac:dyDescent="0.25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5.75" customHeight="1" x14ac:dyDescent="0.25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5.75" customHeight="1" x14ac:dyDescent="0.25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5.75" customHeight="1" x14ac:dyDescent="0.25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5.75" customHeight="1" x14ac:dyDescent="0.25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5.75" customHeight="1" x14ac:dyDescent="0.25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5.75" customHeight="1" x14ac:dyDescent="0.25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5.75" customHeight="1" x14ac:dyDescent="0.25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5.75" customHeight="1" x14ac:dyDescent="0.25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5.75" customHeight="1" x14ac:dyDescent="0.25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5.75" customHeight="1" x14ac:dyDescent="0.25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5.75" customHeight="1" x14ac:dyDescent="0.25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5.75" customHeight="1" x14ac:dyDescent="0.25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5.75" customHeight="1" x14ac:dyDescent="0.25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5.75" customHeight="1" x14ac:dyDescent="0.25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5.75" customHeight="1" x14ac:dyDescent="0.25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5.75" customHeight="1" x14ac:dyDescent="0.25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5.75" customHeight="1" x14ac:dyDescent="0.25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5.75" customHeight="1" x14ac:dyDescent="0.25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5.75" customHeight="1" x14ac:dyDescent="0.25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5.75" customHeight="1" x14ac:dyDescent="0.25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5.75" customHeight="1" x14ac:dyDescent="0.25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5.75" customHeight="1" x14ac:dyDescent="0.25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5.75" customHeight="1" x14ac:dyDescent="0.25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5.75" customHeight="1" x14ac:dyDescent="0.25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5.75" customHeight="1" x14ac:dyDescent="0.25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5.75" customHeight="1" x14ac:dyDescent="0.25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5.75" customHeight="1" x14ac:dyDescent="0.25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5.75" customHeight="1" x14ac:dyDescent="0.25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5.75" customHeight="1" x14ac:dyDescent="0.25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5.75" customHeight="1" x14ac:dyDescent="0.25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5.75" customHeight="1" x14ac:dyDescent="0.25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5.75" customHeight="1" x14ac:dyDescent="0.25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5.75" customHeight="1" x14ac:dyDescent="0.25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5.75" customHeight="1" x14ac:dyDescent="0.25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5.75" customHeight="1" x14ac:dyDescent="0.25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5.75" customHeight="1" x14ac:dyDescent="0.25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5.75" customHeight="1" x14ac:dyDescent="0.25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5.75" customHeight="1" x14ac:dyDescent="0.25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5.75" customHeight="1" x14ac:dyDescent="0.25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5.75" customHeight="1" x14ac:dyDescent="0.25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5.75" customHeight="1" x14ac:dyDescent="0.25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5.75" customHeight="1" x14ac:dyDescent="0.25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5.75" customHeight="1" x14ac:dyDescent="0.25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5.75" customHeight="1" x14ac:dyDescent="0.25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5.75" customHeight="1" x14ac:dyDescent="0.25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5.75" customHeight="1" x14ac:dyDescent="0.25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5.75" customHeight="1" x14ac:dyDescent="0.25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5.75" customHeight="1" x14ac:dyDescent="0.25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5.75" customHeight="1" x14ac:dyDescent="0.25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5.75" customHeight="1" x14ac:dyDescent="0.25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5.75" customHeight="1" x14ac:dyDescent="0.25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5.75" customHeight="1" x14ac:dyDescent="0.25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5.75" customHeight="1" x14ac:dyDescent="0.25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5.75" customHeight="1" x14ac:dyDescent="0.25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5.75" customHeight="1" x14ac:dyDescent="0.25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5.75" customHeight="1" x14ac:dyDescent="0.25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5.75" customHeight="1" x14ac:dyDescent="0.25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5.75" customHeight="1" x14ac:dyDescent="0.25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5.75" customHeight="1" x14ac:dyDescent="0.25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5.75" customHeight="1" x14ac:dyDescent="0.25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5.75" customHeight="1" x14ac:dyDescent="0.25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5.75" customHeight="1" x14ac:dyDescent="0.25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5.75" customHeight="1" x14ac:dyDescent="0.25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5.75" customHeight="1" x14ac:dyDescent="0.25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5.75" customHeight="1" x14ac:dyDescent="0.25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5.75" customHeight="1" x14ac:dyDescent="0.25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5.75" customHeight="1" x14ac:dyDescent="0.25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5.75" customHeight="1" x14ac:dyDescent="0.25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5.75" customHeight="1" x14ac:dyDescent="0.25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5.75" customHeight="1" x14ac:dyDescent="0.25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5.75" customHeight="1" x14ac:dyDescent="0.25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5.75" customHeight="1" x14ac:dyDescent="0.25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5.75" customHeight="1" x14ac:dyDescent="0.25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5.75" customHeight="1" x14ac:dyDescent="0.25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5.75" customHeight="1" x14ac:dyDescent="0.25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5.75" customHeight="1" x14ac:dyDescent="0.25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5.75" customHeight="1" x14ac:dyDescent="0.25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5.75" customHeight="1" x14ac:dyDescent="0.25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  <row r="1001" spans="1:26" ht="15.75" customHeight="1" x14ac:dyDescent="0.25">
      <c r="A1001" s="145"/>
      <c r="B1001" s="145"/>
      <c r="C1001" s="145"/>
      <c r="D1001" s="145"/>
      <c r="E1001" s="145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</row>
    <row r="1002" spans="1:26" ht="15.75" customHeight="1" x14ac:dyDescent="0.25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</row>
    <row r="1003" spans="1:26" ht="15.75" customHeight="1" x14ac:dyDescent="0.25">
      <c r="A1003" s="145"/>
      <c r="B1003" s="145"/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</row>
    <row r="1004" spans="1:26" ht="15.75" customHeight="1" x14ac:dyDescent="0.25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</row>
    <row r="1005" spans="1:26" ht="15.75" customHeight="1" x14ac:dyDescent="0.25">
      <c r="A1005" s="145"/>
      <c r="B1005" s="145"/>
      <c r="C1005" s="145"/>
      <c r="D1005" s="145"/>
      <c r="E1005" s="145"/>
      <c r="F1005" s="145"/>
      <c r="G1005" s="145"/>
      <c r="H1005" s="145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</row>
    <row r="1006" spans="1:26" ht="15.75" customHeight="1" x14ac:dyDescent="0.25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</row>
    <row r="1007" spans="1:26" ht="15.75" customHeight="1" x14ac:dyDescent="0.25">
      <c r="A1007" s="145"/>
      <c r="B1007" s="145"/>
      <c r="C1007" s="145"/>
      <c r="D1007" s="145"/>
      <c r="E1007" s="145"/>
      <c r="F1007" s="145"/>
      <c r="G1007" s="145"/>
      <c r="H1007" s="145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</row>
  </sheetData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FBFBF"/>
    <pageSetUpPr fitToPage="1"/>
  </sheetPr>
  <dimension ref="A1:AA1007"/>
  <sheetViews>
    <sheetView showGridLines="0" topLeftCell="A3" zoomScale="55" zoomScaleNormal="55" workbookViewId="0">
      <selection activeCell="E56" sqref="E56"/>
    </sheetView>
  </sheetViews>
  <sheetFormatPr defaultColWidth="12.59765625" defaultRowHeight="15" customHeight="1" x14ac:dyDescent="0.25"/>
  <cols>
    <col min="1" max="1" width="3.19921875" customWidth="1"/>
    <col min="2" max="2" width="18.59765625" customWidth="1"/>
    <col min="3" max="3" width="97.59765625" customWidth="1"/>
    <col min="4" max="4" width="20.3984375" customWidth="1"/>
    <col min="5" max="6" width="36.59765625" customWidth="1"/>
    <col min="7" max="7" width="3.19921875" customWidth="1"/>
    <col min="8" max="27" width="13" customWidth="1"/>
  </cols>
  <sheetData>
    <row r="1" spans="1:27" ht="20.25" customHeight="1" x14ac:dyDescent="0.25">
      <c r="A1" s="4"/>
      <c r="B1" s="4"/>
      <c r="C1" s="4"/>
      <c r="D1" s="4"/>
      <c r="E1" s="4"/>
      <c r="F1" s="4"/>
      <c r="G1" s="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18.75" customHeight="1" x14ac:dyDescent="0.25">
      <c r="A2" s="46"/>
      <c r="B2" s="452" t="s">
        <v>433</v>
      </c>
      <c r="C2" s="453"/>
      <c r="D2" s="453"/>
      <c r="E2" s="453"/>
      <c r="F2" s="454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7" ht="18.75" customHeight="1" x14ac:dyDescent="0.25">
      <c r="A3" s="46"/>
      <c r="B3" s="455"/>
      <c r="C3" s="376"/>
      <c r="D3" s="376"/>
      <c r="E3" s="376"/>
      <c r="F3" s="456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7" ht="18.75" customHeight="1" x14ac:dyDescent="0.25">
      <c r="A4" s="46"/>
      <c r="B4" s="455"/>
      <c r="C4" s="376"/>
      <c r="D4" s="376"/>
      <c r="E4" s="376"/>
      <c r="F4" s="456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7" ht="18.75" customHeight="1" x14ac:dyDescent="0.25">
      <c r="A5" s="46"/>
      <c r="B5" s="455"/>
      <c r="C5" s="376"/>
      <c r="D5" s="376"/>
      <c r="E5" s="376"/>
      <c r="F5" s="456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7" ht="18.75" customHeight="1" x14ac:dyDescent="0.25">
      <c r="A6" s="46"/>
      <c r="B6" s="457"/>
      <c r="C6" s="458"/>
      <c r="D6" s="458"/>
      <c r="E6" s="458"/>
      <c r="F6" s="459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7" ht="15" customHeight="1" x14ac:dyDescent="0.25">
      <c r="A7" s="48"/>
      <c r="B7" s="4"/>
      <c r="C7" s="4"/>
      <c r="D7" s="4"/>
      <c r="E7" s="4"/>
      <c r="F7" s="4"/>
      <c r="G7" s="4"/>
      <c r="H7" s="48"/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1"/>
    </row>
    <row r="8" spans="1:27" ht="15" customHeight="1" x14ac:dyDescent="0.25">
      <c r="A8" s="48"/>
      <c r="B8" s="50" t="str">
        <f>'DADOS GERAIS'!B8</f>
        <v>Secretaria de Atenção Especializada à Saúde</v>
      </c>
      <c r="C8" s="51"/>
      <c r="D8" s="52" t="s">
        <v>16</v>
      </c>
      <c r="E8" s="52" t="s">
        <v>17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7" ht="15" customHeight="1" x14ac:dyDescent="0.25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0.24880703423586414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7" ht="15" customHeight="1" x14ac:dyDescent="0.25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7" ht="15" customHeight="1" x14ac:dyDescent="0.25">
      <c r="A11" s="48"/>
      <c r="B11" s="60" t="str">
        <f>'DADOS GERAIS'!B11</f>
        <v>Bancos:</v>
      </c>
      <c r="C11" s="55"/>
      <c r="D11" s="61" t="s">
        <v>18</v>
      </c>
      <c r="E11" s="61" t="s">
        <v>19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7" ht="15" customHeight="1" x14ac:dyDescent="0.25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7" ht="15" customHeight="1" x14ac:dyDescent="0.25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7" ht="15" customHeight="1" x14ac:dyDescent="0.25">
      <c r="A14" s="48"/>
      <c r="B14" s="4"/>
      <c r="C14" s="4"/>
      <c r="D14" s="4"/>
      <c r="E14" s="4"/>
      <c r="F14" s="4"/>
      <c r="G14" s="4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1"/>
    </row>
    <row r="15" spans="1:27" ht="20.25" customHeight="1" x14ac:dyDescent="0.25">
      <c r="A15" s="4"/>
      <c r="B15" s="366" t="s">
        <v>434</v>
      </c>
      <c r="C15" s="443"/>
      <c r="D15" s="448"/>
      <c r="E15" s="443"/>
      <c r="F15" s="443"/>
      <c r="G15" s="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</row>
    <row r="16" spans="1:27" ht="20.25" customHeight="1" x14ac:dyDescent="0.25">
      <c r="A16" s="4"/>
      <c r="B16" s="464" t="s">
        <v>435</v>
      </c>
      <c r="C16" s="460" t="s">
        <v>21</v>
      </c>
      <c r="D16" s="461"/>
      <c r="E16" s="465" t="s">
        <v>436</v>
      </c>
      <c r="F16" s="367"/>
      <c r="G16" s="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</row>
    <row r="17" spans="1:27" ht="20.25" customHeight="1" x14ac:dyDescent="0.25">
      <c r="A17" s="4"/>
      <c r="B17" s="441"/>
      <c r="C17" s="462"/>
      <c r="D17" s="463"/>
      <c r="E17" s="169" t="s">
        <v>437</v>
      </c>
      <c r="F17" s="169" t="s">
        <v>438</v>
      </c>
      <c r="G17" s="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</row>
    <row r="18" spans="1:27" ht="6" customHeight="1" x14ac:dyDescent="0.25">
      <c r="A18" s="4"/>
      <c r="B18" s="65"/>
      <c r="C18" s="65"/>
      <c r="D18" s="65"/>
      <c r="E18" s="65"/>
      <c r="F18" s="65"/>
      <c r="G18" s="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</row>
    <row r="19" spans="1:27" ht="20.25" customHeight="1" x14ac:dyDescent="0.25">
      <c r="A19" s="4"/>
      <c r="B19" s="366" t="s">
        <v>439</v>
      </c>
      <c r="C19" s="443"/>
      <c r="D19" s="448"/>
      <c r="E19" s="443"/>
      <c r="F19" s="443"/>
      <c r="G19" s="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</row>
    <row r="20" spans="1:27" ht="20.25" customHeight="1" x14ac:dyDescent="0.25">
      <c r="A20" s="4"/>
      <c r="B20" s="170" t="s">
        <v>440</v>
      </c>
      <c r="C20" s="450" t="s">
        <v>441</v>
      </c>
      <c r="D20" s="451"/>
      <c r="E20" s="171">
        <v>0.2</v>
      </c>
      <c r="F20" s="171">
        <v>0.2</v>
      </c>
      <c r="G20" s="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</row>
    <row r="21" spans="1:27" ht="20.25" customHeight="1" x14ac:dyDescent="0.25">
      <c r="A21" s="4"/>
      <c r="B21" s="157" t="s">
        <v>442</v>
      </c>
      <c r="C21" s="446" t="s">
        <v>443</v>
      </c>
      <c r="D21" s="447"/>
      <c r="E21" s="159">
        <v>1.4999999999999999E-2</v>
      </c>
      <c r="F21" s="159">
        <v>1.4999999999999999E-2</v>
      </c>
      <c r="G21" s="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</row>
    <row r="22" spans="1:27" ht="20.25" customHeight="1" x14ac:dyDescent="0.25">
      <c r="A22" s="4"/>
      <c r="B22" s="157" t="s">
        <v>444</v>
      </c>
      <c r="C22" s="446" t="s">
        <v>445</v>
      </c>
      <c r="D22" s="447"/>
      <c r="E22" s="159">
        <v>0.01</v>
      </c>
      <c r="F22" s="159">
        <v>0.01</v>
      </c>
      <c r="G22" s="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</row>
    <row r="23" spans="1:27" ht="20.25" customHeight="1" x14ac:dyDescent="0.25">
      <c r="A23" s="4"/>
      <c r="B23" s="157" t="s">
        <v>446</v>
      </c>
      <c r="C23" s="446" t="s">
        <v>447</v>
      </c>
      <c r="D23" s="447"/>
      <c r="E23" s="159">
        <v>2E-3</v>
      </c>
      <c r="F23" s="159">
        <v>2E-3</v>
      </c>
      <c r="G23" s="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</row>
    <row r="24" spans="1:27" ht="20.25" customHeight="1" x14ac:dyDescent="0.25">
      <c r="A24" s="4"/>
      <c r="B24" s="157" t="s">
        <v>448</v>
      </c>
      <c r="C24" s="446" t="s">
        <v>449</v>
      </c>
      <c r="D24" s="447"/>
      <c r="E24" s="159">
        <v>6.0000000000000001E-3</v>
      </c>
      <c r="F24" s="159">
        <v>6.0000000000000001E-3</v>
      </c>
      <c r="G24" s="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</row>
    <row r="25" spans="1:27" ht="20.25" customHeight="1" x14ac:dyDescent="0.25">
      <c r="A25" s="4"/>
      <c r="B25" s="157" t="s">
        <v>450</v>
      </c>
      <c r="C25" s="446" t="s">
        <v>451</v>
      </c>
      <c r="D25" s="447"/>
      <c r="E25" s="159">
        <v>2.5000000000000001E-2</v>
      </c>
      <c r="F25" s="159">
        <v>2.5000000000000001E-2</v>
      </c>
      <c r="G25" s="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</row>
    <row r="26" spans="1:27" ht="20.25" customHeight="1" x14ac:dyDescent="0.25">
      <c r="A26" s="4"/>
      <c r="B26" s="157" t="s">
        <v>452</v>
      </c>
      <c r="C26" s="446" t="s">
        <v>453</v>
      </c>
      <c r="D26" s="447"/>
      <c r="E26" s="159">
        <v>0.03</v>
      </c>
      <c r="F26" s="159">
        <v>0.03</v>
      </c>
      <c r="G26" s="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</row>
    <row r="27" spans="1:27" ht="20.25" customHeight="1" x14ac:dyDescent="0.25">
      <c r="A27" s="4"/>
      <c r="B27" s="157" t="s">
        <v>454</v>
      </c>
      <c r="C27" s="446" t="s">
        <v>455</v>
      </c>
      <c r="D27" s="447"/>
      <c r="E27" s="159">
        <v>0.08</v>
      </c>
      <c r="F27" s="159">
        <v>0.08</v>
      </c>
      <c r="G27" s="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</row>
    <row r="28" spans="1:27" ht="20.25" customHeight="1" x14ac:dyDescent="0.25">
      <c r="A28" s="4"/>
      <c r="B28" s="172" t="s">
        <v>456</v>
      </c>
      <c r="C28" s="446" t="s">
        <v>457</v>
      </c>
      <c r="D28" s="447"/>
      <c r="E28" s="173">
        <v>0.01</v>
      </c>
      <c r="F28" s="173">
        <v>0.01</v>
      </c>
      <c r="G28" s="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</row>
    <row r="29" spans="1:27" ht="20.25" customHeight="1" x14ac:dyDescent="0.25">
      <c r="A29" s="4"/>
      <c r="B29" s="174" t="s">
        <v>458</v>
      </c>
      <c r="C29" s="469" t="s">
        <v>35</v>
      </c>
      <c r="D29" s="470"/>
      <c r="E29" s="175">
        <f t="shared" ref="E29:F29" si="0">SUBTOTAL(9,E20:E28)</f>
        <v>0.37800000000000006</v>
      </c>
      <c r="F29" s="175">
        <f t="shared" si="0"/>
        <v>0.37800000000000006</v>
      </c>
      <c r="G29" s="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</row>
    <row r="30" spans="1:27" ht="6" customHeight="1" x14ac:dyDescent="0.25">
      <c r="A30" s="4"/>
      <c r="B30" s="65"/>
      <c r="C30" s="65"/>
      <c r="D30" s="65"/>
      <c r="E30" s="162"/>
      <c r="F30" s="162"/>
      <c r="G30" s="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</row>
    <row r="31" spans="1:27" ht="20.25" customHeight="1" x14ac:dyDescent="0.25">
      <c r="A31" s="4"/>
      <c r="B31" s="366" t="s">
        <v>459</v>
      </c>
      <c r="C31" s="443"/>
      <c r="D31" s="448"/>
      <c r="E31" s="443"/>
      <c r="F31" s="443"/>
      <c r="G31" s="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</row>
    <row r="32" spans="1:27" ht="20.25" customHeight="1" x14ac:dyDescent="0.25">
      <c r="A32" s="4"/>
      <c r="B32" s="170" t="s">
        <v>460</v>
      </c>
      <c r="C32" s="446" t="s">
        <v>461</v>
      </c>
      <c r="D32" s="447"/>
      <c r="E32" s="159">
        <v>0.1797</v>
      </c>
      <c r="F32" s="157" t="s">
        <v>462</v>
      </c>
      <c r="G32" s="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</row>
    <row r="33" spans="1:27" ht="20.25" customHeight="1" x14ac:dyDescent="0.25">
      <c r="A33" s="4"/>
      <c r="B33" s="157" t="s">
        <v>463</v>
      </c>
      <c r="C33" s="446" t="s">
        <v>464</v>
      </c>
      <c r="D33" s="447"/>
      <c r="E33" s="159">
        <v>4.6899999999999997E-2</v>
      </c>
      <c r="F33" s="157" t="s">
        <v>462</v>
      </c>
      <c r="G33" s="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</row>
    <row r="34" spans="1:27" ht="20.25" customHeight="1" x14ac:dyDescent="0.25">
      <c r="A34" s="4"/>
      <c r="B34" s="157" t="s">
        <v>465</v>
      </c>
      <c r="C34" s="446" t="s">
        <v>466</v>
      </c>
      <c r="D34" s="447"/>
      <c r="E34" s="159">
        <v>8.5000000000000006E-3</v>
      </c>
      <c r="F34" s="159">
        <v>6.4000000000000003E-3</v>
      </c>
      <c r="G34" s="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</row>
    <row r="35" spans="1:27" ht="20.25" customHeight="1" x14ac:dyDescent="0.25">
      <c r="A35" s="4"/>
      <c r="B35" s="157" t="s">
        <v>467</v>
      </c>
      <c r="C35" s="446" t="s">
        <v>468</v>
      </c>
      <c r="D35" s="447"/>
      <c r="E35" s="159">
        <v>0.1106</v>
      </c>
      <c r="F35" s="159">
        <v>8.3299999999999999E-2</v>
      </c>
      <c r="G35" s="4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1:27" ht="20.25" customHeight="1" x14ac:dyDescent="0.25">
      <c r="A36" s="4"/>
      <c r="B36" s="157" t="s">
        <v>469</v>
      </c>
      <c r="C36" s="446" t="s">
        <v>470</v>
      </c>
      <c r="D36" s="447"/>
      <c r="E36" s="159">
        <v>5.9999999999999995E-4</v>
      </c>
      <c r="F36" s="159">
        <v>4.0000000000000002E-4</v>
      </c>
      <c r="G36" s="4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</row>
    <row r="37" spans="1:27" ht="20.25" customHeight="1" x14ac:dyDescent="0.25">
      <c r="A37" s="4"/>
      <c r="B37" s="157" t="s">
        <v>471</v>
      </c>
      <c r="C37" s="446" t="s">
        <v>472</v>
      </c>
      <c r="D37" s="447"/>
      <c r="E37" s="159">
        <v>7.4000000000000003E-3</v>
      </c>
      <c r="F37" s="159">
        <v>5.5999999999999999E-3</v>
      </c>
      <c r="G37" s="4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</row>
    <row r="38" spans="1:27" ht="20.25" customHeight="1" x14ac:dyDescent="0.25">
      <c r="A38" s="4"/>
      <c r="B38" s="157" t="s">
        <v>473</v>
      </c>
      <c r="C38" s="446" t="s">
        <v>474</v>
      </c>
      <c r="D38" s="447"/>
      <c r="E38" s="159">
        <v>1.35E-2</v>
      </c>
      <c r="F38" s="157" t="s">
        <v>462</v>
      </c>
      <c r="G38" s="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</row>
    <row r="39" spans="1:27" ht="20.25" customHeight="1" x14ac:dyDescent="0.25">
      <c r="A39" s="4"/>
      <c r="B39" s="157" t="s">
        <v>475</v>
      </c>
      <c r="C39" s="446" t="s">
        <v>476</v>
      </c>
      <c r="D39" s="447"/>
      <c r="E39" s="159">
        <v>1E-3</v>
      </c>
      <c r="F39" s="159">
        <v>8.0000000000000004E-4</v>
      </c>
      <c r="G39" s="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</row>
    <row r="40" spans="1:27" ht="20.25" customHeight="1" x14ac:dyDescent="0.25">
      <c r="A40" s="4"/>
      <c r="B40" s="157" t="s">
        <v>477</v>
      </c>
      <c r="C40" s="446" t="s">
        <v>478</v>
      </c>
      <c r="D40" s="447"/>
      <c r="E40" s="159">
        <v>0.1174</v>
      </c>
      <c r="F40" s="159">
        <v>8.8499999999999995E-2</v>
      </c>
      <c r="G40" s="4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</row>
    <row r="41" spans="1:27" ht="20.25" customHeight="1" x14ac:dyDescent="0.25">
      <c r="A41" s="4"/>
      <c r="B41" s="172" t="s">
        <v>479</v>
      </c>
      <c r="C41" s="446" t="s">
        <v>480</v>
      </c>
      <c r="D41" s="447"/>
      <c r="E41" s="173">
        <v>4.0000000000000002E-4</v>
      </c>
      <c r="F41" s="173">
        <v>2.9999999999999997E-4</v>
      </c>
      <c r="G41" s="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</row>
    <row r="42" spans="1:27" ht="20.25" customHeight="1" x14ac:dyDescent="0.25">
      <c r="A42" s="4"/>
      <c r="B42" s="174" t="s">
        <v>481</v>
      </c>
      <c r="C42" s="469" t="s">
        <v>35</v>
      </c>
      <c r="D42" s="470"/>
      <c r="E42" s="175">
        <f t="shared" ref="E42:F42" si="1">SUBTOTAL(9,E32:E41)</f>
        <v>0.48600000000000004</v>
      </c>
      <c r="F42" s="175">
        <f t="shared" si="1"/>
        <v>0.18529999999999999</v>
      </c>
      <c r="G42" s="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</row>
    <row r="43" spans="1:27" ht="6" customHeight="1" x14ac:dyDescent="0.25">
      <c r="A43" s="4"/>
      <c r="B43" s="65"/>
      <c r="C43" s="65"/>
      <c r="D43" s="65"/>
      <c r="E43" s="162"/>
      <c r="F43" s="162"/>
      <c r="G43" s="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</row>
    <row r="44" spans="1:27" ht="20.25" customHeight="1" x14ac:dyDescent="0.25">
      <c r="A44" s="4"/>
      <c r="B44" s="366" t="s">
        <v>482</v>
      </c>
      <c r="C44" s="443"/>
      <c r="D44" s="448"/>
      <c r="E44" s="443"/>
      <c r="F44" s="443"/>
      <c r="G44" s="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</row>
    <row r="45" spans="1:27" ht="20.25" customHeight="1" x14ac:dyDescent="0.25">
      <c r="A45" s="4"/>
      <c r="B45" s="170" t="s">
        <v>483</v>
      </c>
      <c r="C45" s="446" t="s">
        <v>484</v>
      </c>
      <c r="D45" s="447"/>
      <c r="E45" s="159">
        <v>4.8300000000000003E-2</v>
      </c>
      <c r="F45" s="159">
        <v>3.6400000000000002E-2</v>
      </c>
      <c r="G45" s="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</row>
    <row r="46" spans="1:27" ht="20.25" customHeight="1" x14ac:dyDescent="0.25">
      <c r="A46" s="4"/>
      <c r="B46" s="157" t="s">
        <v>485</v>
      </c>
      <c r="C46" s="446" t="s">
        <v>486</v>
      </c>
      <c r="D46" s="447"/>
      <c r="E46" s="159">
        <v>1.1000000000000001E-3</v>
      </c>
      <c r="F46" s="159">
        <v>8.9999999999999998E-4</v>
      </c>
      <c r="G46" s="4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</row>
    <row r="47" spans="1:27" ht="20.25" customHeight="1" x14ac:dyDescent="0.25">
      <c r="A47" s="4"/>
      <c r="B47" s="157" t="s">
        <v>487</v>
      </c>
      <c r="C47" s="446" t="s">
        <v>488</v>
      </c>
      <c r="D47" s="447"/>
      <c r="E47" s="159">
        <v>2.3400000000000001E-2</v>
      </c>
      <c r="F47" s="159">
        <v>1.7600000000000001E-2</v>
      </c>
      <c r="G47" s="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</row>
    <row r="48" spans="1:27" ht="20.25" customHeight="1" x14ac:dyDescent="0.25">
      <c r="A48" s="4"/>
      <c r="B48" s="157" t="s">
        <v>489</v>
      </c>
      <c r="C48" s="446" t="s">
        <v>490</v>
      </c>
      <c r="D48" s="447"/>
      <c r="E48" s="159">
        <v>2.6499999999999999E-2</v>
      </c>
      <c r="F48" s="159">
        <v>0.02</v>
      </c>
      <c r="G48" s="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  <row r="49" spans="1:27" ht="20.25" customHeight="1" x14ac:dyDescent="0.25">
      <c r="A49" s="4"/>
      <c r="B49" s="172" t="s">
        <v>491</v>
      </c>
      <c r="C49" s="446" t="s">
        <v>492</v>
      </c>
      <c r="D49" s="447"/>
      <c r="E49" s="173">
        <v>4.1000000000000003E-3</v>
      </c>
      <c r="F49" s="173">
        <v>3.0999999999999999E-3</v>
      </c>
      <c r="G49" s="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</row>
    <row r="50" spans="1:27" ht="20.25" customHeight="1" x14ac:dyDescent="0.25">
      <c r="A50" s="4"/>
      <c r="B50" s="174" t="s">
        <v>493</v>
      </c>
      <c r="C50" s="465" t="s">
        <v>35</v>
      </c>
      <c r="D50" s="466"/>
      <c r="E50" s="175">
        <f t="shared" ref="E50:F50" si="2">SUBTOTAL(9,E45:E49)</f>
        <v>0.10340000000000001</v>
      </c>
      <c r="F50" s="175">
        <f t="shared" si="2"/>
        <v>7.8000000000000014E-2</v>
      </c>
      <c r="G50" s="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</row>
    <row r="51" spans="1:27" ht="6" customHeight="1" x14ac:dyDescent="0.25">
      <c r="A51" s="4"/>
      <c r="B51" s="65"/>
      <c r="C51" s="65"/>
      <c r="D51" s="65"/>
      <c r="E51" s="162"/>
      <c r="F51" s="162"/>
      <c r="G51" s="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</row>
    <row r="52" spans="1:27" ht="20.25" customHeight="1" x14ac:dyDescent="0.25">
      <c r="A52" s="4"/>
      <c r="B52" s="366" t="s">
        <v>494</v>
      </c>
      <c r="C52" s="443"/>
      <c r="D52" s="448"/>
      <c r="E52" s="443"/>
      <c r="F52" s="443"/>
      <c r="G52" s="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</row>
    <row r="53" spans="1:27" ht="20.25" customHeight="1" x14ac:dyDescent="0.25">
      <c r="A53" s="4"/>
      <c r="B53" s="170" t="s">
        <v>495</v>
      </c>
      <c r="C53" s="446" t="s">
        <v>496</v>
      </c>
      <c r="D53" s="447"/>
      <c r="E53" s="159">
        <f t="shared" ref="E53:F53" si="3">ROUND(E42*E29,4)</f>
        <v>0.1837</v>
      </c>
      <c r="F53" s="159">
        <f t="shared" si="3"/>
        <v>7.0000000000000007E-2</v>
      </c>
      <c r="G53" s="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</row>
    <row r="54" spans="1:27" ht="28.95" customHeight="1" x14ac:dyDescent="0.25">
      <c r="A54" s="4"/>
      <c r="B54" s="172" t="s">
        <v>497</v>
      </c>
      <c r="C54" s="446" t="s">
        <v>498</v>
      </c>
      <c r="D54" s="447"/>
      <c r="E54" s="159">
        <f t="shared" ref="E54:F54" si="4">E29*E46+E27*E45</f>
        <v>4.2798000000000003E-3</v>
      </c>
      <c r="F54" s="159">
        <f t="shared" si="4"/>
        <v>3.2522000000000002E-3</v>
      </c>
      <c r="G54" s="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</row>
    <row r="55" spans="1:27" ht="20.25" customHeight="1" x14ac:dyDescent="0.25">
      <c r="A55" s="4"/>
      <c r="B55" s="176" t="s">
        <v>499</v>
      </c>
      <c r="C55" s="465" t="s">
        <v>35</v>
      </c>
      <c r="D55" s="466"/>
      <c r="E55" s="177">
        <f>SUBTOTAL(9,E53:E54)</f>
        <v>0.1879798</v>
      </c>
      <c r="F55" s="177">
        <f>ROUND(SUBTOTAL(9,F53:F54),4)</f>
        <v>7.3300000000000004E-2</v>
      </c>
      <c r="G55" s="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</row>
    <row r="56" spans="1:27" ht="26.25" customHeight="1" x14ac:dyDescent="0.25">
      <c r="A56" s="4"/>
      <c r="B56" s="366" t="s">
        <v>500</v>
      </c>
      <c r="C56" s="467"/>
      <c r="D56" s="468"/>
      <c r="E56" s="70">
        <f t="shared" ref="E56:F56" si="5">SUM(E29,E42,E50,E55)</f>
        <v>1.1553798000000002</v>
      </c>
      <c r="F56" s="70">
        <f t="shared" si="5"/>
        <v>0.71460000000000001</v>
      </c>
      <c r="G56" s="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</row>
    <row r="57" spans="1:27" ht="20.25" customHeight="1" x14ac:dyDescent="0.25">
      <c r="A57" s="4"/>
      <c r="B57" s="4"/>
      <c r="C57" s="4"/>
      <c r="D57" s="4"/>
      <c r="E57" s="4"/>
      <c r="F57" s="4"/>
      <c r="G57" s="4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</row>
    <row r="58" spans="1:27" ht="20.25" customHeight="1" x14ac:dyDescent="0.25">
      <c r="A58" s="4"/>
      <c r="B58" s="178" t="s">
        <v>425</v>
      </c>
      <c r="C58" s="163"/>
      <c r="D58" s="163"/>
      <c r="E58" s="165"/>
      <c r="F58" s="165"/>
      <c r="G58" s="4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</row>
    <row r="59" spans="1:27" ht="20.25" customHeight="1" x14ac:dyDescent="0.25">
      <c r="A59" s="4"/>
      <c r="B59" s="32" t="s">
        <v>426</v>
      </c>
      <c r="C59" s="444" t="s">
        <v>952</v>
      </c>
      <c r="D59" s="444"/>
      <c r="E59" s="350"/>
      <c r="F59" s="350"/>
      <c r="G59" s="350"/>
      <c r="H59" s="4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</row>
    <row r="60" spans="1:27" ht="20.25" customHeight="1" x14ac:dyDescent="0.25">
      <c r="A60" s="4"/>
      <c r="B60" s="32"/>
      <c r="C60" s="48"/>
      <c r="D60" s="48"/>
      <c r="E60" s="164"/>
      <c r="F60" s="164"/>
      <c r="G60" s="164"/>
      <c r="H60" s="4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</row>
    <row r="61" spans="1:27" ht="20.25" customHeight="1" x14ac:dyDescent="0.25">
      <c r="A61" s="4"/>
      <c r="B61" s="178" t="s">
        <v>430</v>
      </c>
      <c r="C61" s="163"/>
      <c r="D61" s="163"/>
      <c r="E61" s="165"/>
      <c r="F61" s="165"/>
      <c r="G61" s="4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</row>
    <row r="62" spans="1:27" ht="20.25" customHeight="1" x14ac:dyDescent="0.25">
      <c r="A62" s="4"/>
      <c r="B62" s="32" t="s">
        <v>426</v>
      </c>
      <c r="C62" s="444" t="s">
        <v>431</v>
      </c>
      <c r="D62" s="444"/>
      <c r="E62" s="350"/>
      <c r="F62" s="350"/>
      <c r="G62" s="350"/>
      <c r="H62" s="4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</row>
    <row r="63" spans="1:27" ht="20.25" customHeight="1" x14ac:dyDescent="0.25">
      <c r="A63" s="4"/>
      <c r="B63" s="32" t="s">
        <v>428</v>
      </c>
      <c r="C63" s="444" t="s">
        <v>432</v>
      </c>
      <c r="D63" s="444"/>
      <c r="E63" s="350"/>
      <c r="F63" s="350"/>
      <c r="G63" s="350"/>
      <c r="H63" s="4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</row>
    <row r="64" spans="1:27" ht="20.25" customHeight="1" x14ac:dyDescent="0.25">
      <c r="A64" s="4"/>
      <c r="B64" s="179"/>
      <c r="C64" s="165"/>
      <c r="D64" s="165"/>
      <c r="E64" s="165"/>
      <c r="F64" s="165"/>
      <c r="G64" s="4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</row>
    <row r="65" spans="1:27" ht="20.25" customHeight="1" x14ac:dyDescent="0.25">
      <c r="A65" s="4"/>
      <c r="B65" s="4"/>
      <c r="C65" s="4"/>
      <c r="D65" s="4"/>
      <c r="E65" s="165"/>
      <c r="F65" s="165"/>
      <c r="G65" s="4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1:27" ht="21" customHeight="1" x14ac:dyDescent="0.25">
      <c r="A66" s="4"/>
      <c r="B66" s="438" t="s">
        <v>14</v>
      </c>
      <c r="C66" s="347"/>
      <c r="D66" s="449"/>
      <c r="E66" s="347"/>
      <c r="F66" s="348"/>
      <c r="G66" s="4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</row>
    <row r="67" spans="1:27" ht="20.25" customHeight="1" x14ac:dyDescent="0.25">
      <c r="A67" s="4"/>
      <c r="B67" s="349"/>
      <c r="C67" s="350"/>
      <c r="D67" s="350"/>
      <c r="E67" s="350"/>
      <c r="F67" s="351"/>
      <c r="G67" s="4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</row>
    <row r="68" spans="1:27" ht="20.25" customHeight="1" x14ac:dyDescent="0.25">
      <c r="A68" s="4"/>
      <c r="B68" s="349"/>
      <c r="C68" s="350"/>
      <c r="D68" s="350"/>
      <c r="E68" s="350"/>
      <c r="F68" s="351"/>
      <c r="G68" s="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</row>
    <row r="69" spans="1:27" ht="20.25" customHeight="1" x14ac:dyDescent="0.25">
      <c r="A69" s="4"/>
      <c r="B69" s="349"/>
      <c r="C69" s="350"/>
      <c r="D69" s="350"/>
      <c r="E69" s="350"/>
      <c r="F69" s="351"/>
      <c r="G69" s="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</row>
    <row r="70" spans="1:27" ht="20.25" customHeight="1" x14ac:dyDescent="0.25">
      <c r="A70" s="4"/>
      <c r="B70" s="349"/>
      <c r="C70" s="350"/>
      <c r="D70" s="350"/>
      <c r="E70" s="350"/>
      <c r="F70" s="351"/>
      <c r="G70" s="4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</row>
    <row r="71" spans="1:27" ht="20.25" customHeight="1" x14ac:dyDescent="0.3">
      <c r="A71" s="4"/>
      <c r="B71" s="359" t="str">
        <f>'DADOS GERAIS'!C24</f>
        <v>Gerrard Tayon Ferreira Lopo</v>
      </c>
      <c r="C71" s="350"/>
      <c r="D71" s="350"/>
      <c r="E71" s="350"/>
      <c r="F71" s="351"/>
      <c r="G71" s="4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</row>
    <row r="72" spans="1:27" ht="20.25" customHeight="1" x14ac:dyDescent="0.25">
      <c r="A72" s="4"/>
      <c r="B72" s="439" t="str">
        <f>'DADOS GERAIS'!C25</f>
        <v>Engenheiro Civil  - CREA MG 289963</v>
      </c>
      <c r="C72" s="350"/>
      <c r="D72" s="350"/>
      <c r="E72" s="350"/>
      <c r="F72" s="351"/>
      <c r="G72" s="4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 ht="15.75" customHeight="1" x14ac:dyDescent="0.25">
      <c r="A73" s="4"/>
      <c r="B73" s="91"/>
      <c r="C73" s="42"/>
      <c r="D73" s="215"/>
      <c r="E73" s="42"/>
      <c r="F73" s="43"/>
      <c r="G73" s="4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</row>
    <row r="74" spans="1:27" ht="20.25" customHeight="1" x14ac:dyDescent="0.25">
      <c r="A74" s="4"/>
      <c r="B74" s="4"/>
      <c r="C74" s="4"/>
      <c r="D74" s="4"/>
      <c r="E74" s="4"/>
      <c r="F74" s="4"/>
      <c r="G74" s="4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 ht="15.75" customHeight="1" x14ac:dyDescent="0.25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27" ht="15.75" customHeight="1" x14ac:dyDescent="0.25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</row>
    <row r="77" spans="1:27" ht="15.75" customHeight="1" x14ac:dyDescent="0.25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</row>
    <row r="78" spans="1:27" ht="15.75" customHeight="1" x14ac:dyDescent="0.25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</row>
    <row r="79" spans="1:27" ht="15.75" customHeight="1" x14ac:dyDescent="0.25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</row>
    <row r="80" spans="1:27" ht="15.75" customHeight="1" x14ac:dyDescent="0.25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</row>
    <row r="81" spans="1:27" ht="15.75" customHeight="1" x14ac:dyDescent="0.25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</row>
    <row r="82" spans="1:27" ht="15.75" customHeight="1" x14ac:dyDescent="0.25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</row>
    <row r="83" spans="1:27" ht="15.75" customHeight="1" x14ac:dyDescent="0.25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</row>
    <row r="84" spans="1:27" ht="15.75" customHeight="1" x14ac:dyDescent="0.25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</row>
    <row r="85" spans="1:27" ht="15.75" customHeight="1" x14ac:dyDescent="0.25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</row>
    <row r="86" spans="1:27" ht="15.75" customHeight="1" x14ac:dyDescent="0.25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</row>
    <row r="87" spans="1:27" ht="15.75" customHeight="1" x14ac:dyDescent="0.25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</row>
    <row r="88" spans="1:27" ht="15.75" customHeight="1" x14ac:dyDescent="0.25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</row>
    <row r="89" spans="1:27" ht="15.75" customHeight="1" x14ac:dyDescent="0.25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</row>
    <row r="90" spans="1:27" ht="15.75" customHeight="1" x14ac:dyDescent="0.25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</row>
    <row r="91" spans="1:27" ht="15.75" customHeight="1" x14ac:dyDescent="0.25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</row>
    <row r="92" spans="1:27" ht="15.75" customHeight="1" x14ac:dyDescent="0.2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</row>
    <row r="93" spans="1:27" ht="15.75" customHeight="1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</row>
    <row r="94" spans="1:27" ht="15.75" customHeight="1" x14ac:dyDescent="0.2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</row>
    <row r="95" spans="1:27" ht="15.75" customHeight="1" x14ac:dyDescent="0.2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</row>
    <row r="96" spans="1:27" ht="15.75" customHeight="1" x14ac:dyDescent="0.2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</row>
    <row r="97" spans="1:27" ht="15.75" customHeight="1" x14ac:dyDescent="0.2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</row>
    <row r="98" spans="1:27" ht="15.75" customHeight="1" x14ac:dyDescent="0.25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</row>
    <row r="99" spans="1:27" ht="15.75" customHeight="1" x14ac:dyDescent="0.25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</row>
    <row r="100" spans="1:27" ht="15.75" customHeight="1" x14ac:dyDescent="0.2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:27" ht="15.75" customHeight="1" x14ac:dyDescent="0.2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</row>
    <row r="102" spans="1:27" ht="15.75" customHeight="1" x14ac:dyDescent="0.2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</row>
    <row r="103" spans="1:27" ht="15.75" customHeight="1" x14ac:dyDescent="0.2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</row>
    <row r="104" spans="1:27" ht="15.75" customHeight="1" x14ac:dyDescent="0.2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</row>
    <row r="105" spans="1:27" ht="15.75" customHeight="1" x14ac:dyDescent="0.2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ht="15.75" customHeight="1" x14ac:dyDescent="0.2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ht="15.75" customHeight="1" x14ac:dyDescent="0.2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</row>
    <row r="108" spans="1:27" ht="15.75" customHeight="1" x14ac:dyDescent="0.2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</row>
    <row r="109" spans="1:27" ht="15.75" customHeight="1" x14ac:dyDescent="0.2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</row>
    <row r="110" spans="1:27" ht="15.75" customHeight="1" x14ac:dyDescent="0.2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</row>
    <row r="111" spans="1:27" ht="15.75" customHeight="1" x14ac:dyDescent="0.2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</row>
    <row r="112" spans="1:27" ht="15.75" customHeight="1" x14ac:dyDescent="0.2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</row>
    <row r="113" spans="1:27" ht="15.75" customHeight="1" x14ac:dyDescent="0.25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</row>
    <row r="114" spans="1:27" ht="15.75" customHeight="1" x14ac:dyDescent="0.25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</row>
    <row r="115" spans="1:27" ht="15.75" customHeight="1" x14ac:dyDescent="0.2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</row>
    <row r="116" spans="1:27" ht="15.75" customHeight="1" x14ac:dyDescent="0.2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</row>
    <row r="117" spans="1:27" ht="15.75" customHeight="1" x14ac:dyDescent="0.2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</row>
    <row r="118" spans="1:27" ht="15.75" customHeight="1" x14ac:dyDescent="0.2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</row>
    <row r="119" spans="1:27" ht="15.75" customHeight="1" x14ac:dyDescent="0.2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</row>
    <row r="120" spans="1:27" ht="15.75" customHeight="1" x14ac:dyDescent="0.2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</row>
    <row r="121" spans="1:27" ht="15.75" customHeight="1" x14ac:dyDescent="0.2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</row>
    <row r="122" spans="1:27" ht="15.75" customHeight="1" x14ac:dyDescent="0.2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</row>
    <row r="123" spans="1:27" ht="15.75" customHeight="1" x14ac:dyDescent="0.2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</row>
    <row r="124" spans="1:27" ht="15.75" customHeight="1" x14ac:dyDescent="0.25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</row>
    <row r="125" spans="1:27" ht="15.75" customHeight="1" x14ac:dyDescent="0.25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</row>
    <row r="126" spans="1:27" ht="15.75" customHeight="1" x14ac:dyDescent="0.2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</row>
    <row r="127" spans="1:27" ht="15.75" customHeight="1" x14ac:dyDescent="0.2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</row>
    <row r="128" spans="1:27" ht="15.75" customHeight="1" x14ac:dyDescent="0.2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</row>
    <row r="129" spans="1:27" ht="15.75" customHeight="1" x14ac:dyDescent="0.2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</row>
    <row r="130" spans="1:27" ht="15.75" customHeight="1" x14ac:dyDescent="0.2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</row>
    <row r="131" spans="1:27" ht="15.75" customHeight="1" x14ac:dyDescent="0.2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</row>
    <row r="132" spans="1:27" ht="15.75" customHeight="1" x14ac:dyDescent="0.2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</row>
    <row r="133" spans="1:27" ht="15.75" customHeight="1" x14ac:dyDescent="0.25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</row>
    <row r="134" spans="1:27" ht="15.75" customHeight="1" x14ac:dyDescent="0.25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</row>
    <row r="135" spans="1:27" ht="15.75" customHeight="1" x14ac:dyDescent="0.25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</row>
    <row r="136" spans="1:27" ht="15.75" customHeight="1" x14ac:dyDescent="0.2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</row>
    <row r="137" spans="1:27" ht="15.75" customHeight="1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</row>
    <row r="138" spans="1:27" ht="15.75" customHeight="1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</row>
    <row r="139" spans="1:27" ht="15.75" customHeight="1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</row>
    <row r="140" spans="1:27" ht="15.75" customHeight="1" x14ac:dyDescent="0.2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</row>
    <row r="141" spans="1:27" ht="15.75" customHeight="1" x14ac:dyDescent="0.2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</row>
    <row r="142" spans="1:27" ht="15.75" customHeight="1" x14ac:dyDescent="0.2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</row>
    <row r="143" spans="1:27" ht="15.75" customHeight="1" x14ac:dyDescent="0.2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</row>
    <row r="144" spans="1:27" ht="15.75" customHeight="1" x14ac:dyDescent="0.2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</row>
    <row r="145" spans="1:27" ht="15.75" customHeight="1" x14ac:dyDescent="0.2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</row>
    <row r="146" spans="1:27" ht="15.75" customHeight="1" x14ac:dyDescent="0.2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</row>
    <row r="147" spans="1:27" ht="15.75" customHeight="1" x14ac:dyDescent="0.2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</row>
    <row r="148" spans="1:27" ht="15.75" customHeight="1" x14ac:dyDescent="0.25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</row>
    <row r="149" spans="1:27" ht="15.75" customHeight="1" x14ac:dyDescent="0.25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</row>
    <row r="150" spans="1:27" ht="15.75" customHeight="1" x14ac:dyDescent="0.2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</row>
    <row r="151" spans="1:27" ht="15.75" customHeight="1" x14ac:dyDescent="0.25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</row>
    <row r="152" spans="1:27" ht="15.75" customHeight="1" x14ac:dyDescent="0.25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</row>
    <row r="153" spans="1:27" ht="15.75" customHeight="1" x14ac:dyDescent="0.25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</row>
    <row r="154" spans="1:27" ht="15.75" customHeight="1" x14ac:dyDescent="0.25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</row>
    <row r="155" spans="1:27" ht="15.75" customHeight="1" x14ac:dyDescent="0.25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</row>
    <row r="156" spans="1:27" ht="15.75" customHeight="1" x14ac:dyDescent="0.25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</row>
    <row r="157" spans="1:27" ht="15.75" customHeight="1" x14ac:dyDescent="0.25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</row>
    <row r="158" spans="1:27" ht="15.75" customHeight="1" x14ac:dyDescent="0.25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</row>
    <row r="159" spans="1:27" ht="15.75" customHeight="1" x14ac:dyDescent="0.25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</row>
    <row r="160" spans="1:27" ht="15.75" customHeight="1" x14ac:dyDescent="0.25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</row>
    <row r="161" spans="1:27" ht="15.75" customHeight="1" x14ac:dyDescent="0.25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</row>
    <row r="162" spans="1:27" ht="15.75" customHeight="1" x14ac:dyDescent="0.25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</row>
    <row r="163" spans="1:27" ht="15.75" customHeight="1" x14ac:dyDescent="0.25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</row>
    <row r="164" spans="1:27" ht="15.75" customHeight="1" x14ac:dyDescent="0.25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</row>
    <row r="165" spans="1:27" ht="15.75" customHeight="1" x14ac:dyDescent="0.2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</row>
    <row r="166" spans="1:27" ht="15.75" customHeight="1" x14ac:dyDescent="0.2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</row>
    <row r="167" spans="1:27" ht="15.75" customHeight="1" x14ac:dyDescent="0.2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</row>
    <row r="168" spans="1:27" ht="15.75" customHeight="1" x14ac:dyDescent="0.2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</row>
    <row r="169" spans="1:27" ht="15.75" customHeight="1" x14ac:dyDescent="0.2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</row>
    <row r="170" spans="1:27" ht="15.75" customHeight="1" x14ac:dyDescent="0.2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</row>
    <row r="171" spans="1:27" ht="15.75" customHeight="1" x14ac:dyDescent="0.2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</row>
    <row r="172" spans="1:27" ht="15.75" customHeight="1" x14ac:dyDescent="0.2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</row>
    <row r="173" spans="1:27" ht="15.75" customHeight="1" x14ac:dyDescent="0.2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</row>
    <row r="174" spans="1:27" ht="15.75" customHeight="1" x14ac:dyDescent="0.2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</row>
    <row r="175" spans="1:27" ht="15.75" customHeight="1" x14ac:dyDescent="0.2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</row>
    <row r="176" spans="1:27" ht="15.75" customHeight="1" x14ac:dyDescent="0.2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</row>
    <row r="177" spans="1:27" ht="15.75" customHeight="1" x14ac:dyDescent="0.25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</row>
    <row r="178" spans="1:27" ht="15.75" customHeight="1" x14ac:dyDescent="0.25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</row>
    <row r="179" spans="1:27" ht="15.75" customHeight="1" x14ac:dyDescent="0.25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</row>
    <row r="180" spans="1:27" ht="15.75" customHeight="1" x14ac:dyDescent="0.25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</row>
    <row r="181" spans="1:27" ht="15.75" customHeight="1" x14ac:dyDescent="0.25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</row>
    <row r="182" spans="1:27" ht="15.75" customHeight="1" x14ac:dyDescent="0.25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</row>
    <row r="183" spans="1:27" ht="15.75" customHeight="1" x14ac:dyDescent="0.25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</row>
    <row r="184" spans="1:27" ht="15.75" customHeight="1" x14ac:dyDescent="0.25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</row>
    <row r="185" spans="1:27" ht="15.75" customHeight="1" x14ac:dyDescent="0.25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</row>
    <row r="186" spans="1:27" ht="15.75" customHeight="1" x14ac:dyDescent="0.25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</row>
    <row r="187" spans="1:27" ht="15.75" customHeight="1" x14ac:dyDescent="0.25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</row>
    <row r="188" spans="1:27" ht="15.75" customHeight="1" x14ac:dyDescent="0.25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</row>
    <row r="189" spans="1:27" ht="15.75" customHeight="1" x14ac:dyDescent="0.25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</row>
    <row r="190" spans="1:27" ht="15.75" customHeight="1" x14ac:dyDescent="0.25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</row>
    <row r="191" spans="1:27" ht="15.75" customHeight="1" x14ac:dyDescent="0.25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</row>
    <row r="192" spans="1:27" ht="15.75" customHeight="1" x14ac:dyDescent="0.25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</row>
    <row r="193" spans="1:27" ht="15.75" customHeight="1" x14ac:dyDescent="0.25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</row>
    <row r="194" spans="1:27" ht="15.75" customHeight="1" x14ac:dyDescent="0.25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</row>
    <row r="195" spans="1:27" ht="15.75" customHeight="1" x14ac:dyDescent="0.25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</row>
    <row r="196" spans="1:27" ht="15.75" customHeight="1" x14ac:dyDescent="0.25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</row>
    <row r="197" spans="1:27" ht="15.75" customHeight="1" x14ac:dyDescent="0.25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</row>
    <row r="198" spans="1:27" ht="15.75" customHeight="1" x14ac:dyDescent="0.25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</row>
    <row r="199" spans="1:27" ht="15.75" customHeight="1" x14ac:dyDescent="0.25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</row>
    <row r="200" spans="1:27" ht="15.75" customHeight="1" x14ac:dyDescent="0.25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</row>
    <row r="201" spans="1:27" ht="15.75" customHeight="1" x14ac:dyDescent="0.25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</row>
    <row r="202" spans="1:27" ht="15.75" customHeight="1" x14ac:dyDescent="0.25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</row>
    <row r="203" spans="1:27" ht="15.75" customHeight="1" x14ac:dyDescent="0.25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</row>
    <row r="204" spans="1:27" ht="15.75" customHeight="1" x14ac:dyDescent="0.25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</row>
    <row r="205" spans="1:27" ht="15.75" customHeight="1" x14ac:dyDescent="0.25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</row>
    <row r="206" spans="1:27" ht="15.75" customHeight="1" x14ac:dyDescent="0.25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</row>
    <row r="207" spans="1:27" ht="15.75" customHeight="1" x14ac:dyDescent="0.25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</row>
    <row r="208" spans="1:27" ht="15.75" customHeight="1" x14ac:dyDescent="0.25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</row>
    <row r="209" spans="1:27" ht="15.75" customHeight="1" x14ac:dyDescent="0.25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</row>
    <row r="210" spans="1:27" ht="15.75" customHeight="1" x14ac:dyDescent="0.25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</row>
    <row r="211" spans="1:27" ht="15.75" customHeight="1" x14ac:dyDescent="0.25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</row>
    <row r="212" spans="1:27" ht="15.75" customHeight="1" x14ac:dyDescent="0.25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</row>
    <row r="213" spans="1:27" ht="15.75" customHeight="1" x14ac:dyDescent="0.25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</row>
    <row r="214" spans="1:27" ht="15.75" customHeight="1" x14ac:dyDescent="0.25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</row>
    <row r="215" spans="1:27" ht="15.75" customHeight="1" x14ac:dyDescent="0.25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</row>
    <row r="216" spans="1:27" ht="15.75" customHeight="1" x14ac:dyDescent="0.25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</row>
    <row r="217" spans="1:27" ht="15.75" customHeight="1" x14ac:dyDescent="0.25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</row>
    <row r="218" spans="1:27" ht="15.75" customHeight="1" x14ac:dyDescent="0.25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</row>
    <row r="219" spans="1:27" ht="15.75" customHeight="1" x14ac:dyDescent="0.25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</row>
    <row r="220" spans="1:27" ht="15.75" customHeight="1" x14ac:dyDescent="0.25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</row>
    <row r="221" spans="1:27" ht="15.75" customHeight="1" x14ac:dyDescent="0.25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</row>
    <row r="222" spans="1:27" ht="15.75" customHeight="1" x14ac:dyDescent="0.25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</row>
    <row r="223" spans="1:27" ht="15.75" customHeight="1" x14ac:dyDescent="0.25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</row>
    <row r="224" spans="1:27" ht="15.75" customHeight="1" x14ac:dyDescent="0.25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</row>
    <row r="225" spans="1:27" ht="15.75" customHeight="1" x14ac:dyDescent="0.25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</row>
    <row r="226" spans="1:27" ht="15.75" customHeight="1" x14ac:dyDescent="0.2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</row>
    <row r="227" spans="1:27" ht="15.75" customHeight="1" x14ac:dyDescent="0.25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</row>
    <row r="228" spans="1:27" ht="15.75" customHeight="1" x14ac:dyDescent="0.25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</row>
    <row r="229" spans="1:27" ht="15.75" customHeight="1" x14ac:dyDescent="0.25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</row>
    <row r="230" spans="1:27" ht="15.75" customHeight="1" x14ac:dyDescent="0.25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</row>
    <row r="231" spans="1:27" ht="15.75" customHeight="1" x14ac:dyDescent="0.25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</row>
    <row r="232" spans="1:27" ht="15.75" customHeight="1" x14ac:dyDescent="0.25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</row>
    <row r="233" spans="1:27" ht="15.75" customHeight="1" x14ac:dyDescent="0.25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</row>
    <row r="234" spans="1:27" ht="15.75" customHeight="1" x14ac:dyDescent="0.25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</row>
    <row r="235" spans="1:27" ht="15.75" customHeight="1" x14ac:dyDescent="0.25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</row>
    <row r="236" spans="1:27" ht="15.75" customHeight="1" x14ac:dyDescent="0.25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</row>
    <row r="237" spans="1:27" ht="15.75" customHeight="1" x14ac:dyDescent="0.25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</row>
    <row r="238" spans="1:27" ht="15.75" customHeight="1" x14ac:dyDescent="0.25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</row>
    <row r="239" spans="1:27" ht="15.75" customHeight="1" x14ac:dyDescent="0.25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</row>
    <row r="240" spans="1:27" ht="15.75" customHeight="1" x14ac:dyDescent="0.25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</row>
    <row r="241" spans="1:27" ht="15.75" customHeight="1" x14ac:dyDescent="0.25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</row>
    <row r="242" spans="1:27" ht="15.75" customHeight="1" x14ac:dyDescent="0.25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</row>
    <row r="243" spans="1:27" ht="15.75" customHeight="1" x14ac:dyDescent="0.25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</row>
    <row r="244" spans="1:27" ht="15.75" customHeight="1" x14ac:dyDescent="0.25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</row>
    <row r="245" spans="1:27" ht="15.75" customHeight="1" x14ac:dyDescent="0.25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</row>
    <row r="246" spans="1:27" ht="15.75" customHeight="1" x14ac:dyDescent="0.25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</row>
    <row r="247" spans="1:27" ht="15.75" customHeight="1" x14ac:dyDescent="0.25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</row>
    <row r="248" spans="1:27" ht="15.75" customHeight="1" x14ac:dyDescent="0.25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</row>
    <row r="249" spans="1:27" ht="15.75" customHeight="1" x14ac:dyDescent="0.25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</row>
    <row r="250" spans="1:27" ht="15.75" customHeight="1" x14ac:dyDescent="0.25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</row>
    <row r="251" spans="1:27" ht="15.75" customHeight="1" x14ac:dyDescent="0.25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</row>
    <row r="252" spans="1:27" ht="15.75" customHeight="1" x14ac:dyDescent="0.25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</row>
    <row r="253" spans="1:27" ht="15.75" customHeight="1" x14ac:dyDescent="0.25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</row>
    <row r="254" spans="1:27" ht="15.75" customHeight="1" x14ac:dyDescent="0.25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</row>
    <row r="255" spans="1:27" ht="15.75" customHeight="1" x14ac:dyDescent="0.25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</row>
    <row r="256" spans="1:27" ht="15.75" customHeight="1" x14ac:dyDescent="0.25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</row>
    <row r="257" spans="1:27" ht="15.75" customHeight="1" x14ac:dyDescent="0.25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</row>
    <row r="258" spans="1:27" ht="15.75" customHeight="1" x14ac:dyDescent="0.25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</row>
    <row r="259" spans="1:27" ht="15.75" customHeight="1" x14ac:dyDescent="0.25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</row>
    <row r="260" spans="1:27" ht="15.75" customHeight="1" x14ac:dyDescent="0.25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</row>
    <row r="261" spans="1:27" ht="15.75" customHeight="1" x14ac:dyDescent="0.25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</row>
    <row r="262" spans="1:27" ht="15.75" customHeight="1" x14ac:dyDescent="0.25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</row>
    <row r="263" spans="1:27" ht="15.75" customHeight="1" x14ac:dyDescent="0.25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</row>
    <row r="264" spans="1:27" ht="15.75" customHeight="1" x14ac:dyDescent="0.25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</row>
    <row r="265" spans="1:27" ht="15.75" customHeight="1" x14ac:dyDescent="0.25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</row>
    <row r="266" spans="1:27" ht="15.75" customHeight="1" x14ac:dyDescent="0.25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</row>
    <row r="267" spans="1:27" ht="15.75" customHeight="1" x14ac:dyDescent="0.25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</row>
    <row r="268" spans="1:27" ht="15.75" customHeight="1" x14ac:dyDescent="0.25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</row>
    <row r="269" spans="1:27" ht="15.75" customHeight="1" x14ac:dyDescent="0.25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</row>
    <row r="270" spans="1:27" ht="15.75" customHeight="1" x14ac:dyDescent="0.25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</row>
    <row r="271" spans="1:27" ht="15.75" customHeight="1" x14ac:dyDescent="0.25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</row>
    <row r="272" spans="1:27" ht="15.75" customHeight="1" x14ac:dyDescent="0.25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</row>
    <row r="273" spans="1:27" ht="15.75" customHeight="1" x14ac:dyDescent="0.2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</row>
    <row r="274" spans="1:27" ht="15.75" customHeight="1" x14ac:dyDescent="0.2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</row>
    <row r="275" spans="1:27" ht="15.75" customHeight="1" x14ac:dyDescent="0.2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</row>
    <row r="276" spans="1:27" ht="15.75" customHeight="1" x14ac:dyDescent="0.2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</row>
    <row r="277" spans="1:27" ht="15.75" customHeight="1" x14ac:dyDescent="0.2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</row>
    <row r="278" spans="1:27" ht="15.75" customHeight="1" x14ac:dyDescent="0.2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</row>
    <row r="279" spans="1:27" ht="15.75" customHeight="1" x14ac:dyDescent="0.2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</row>
    <row r="280" spans="1:27" ht="15.75" customHeight="1" x14ac:dyDescent="0.2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</row>
    <row r="281" spans="1:27" ht="15.75" customHeight="1" x14ac:dyDescent="0.2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</row>
    <row r="282" spans="1:27" ht="15.75" customHeight="1" x14ac:dyDescent="0.25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</row>
    <row r="283" spans="1:27" ht="15.75" customHeight="1" x14ac:dyDescent="0.2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</row>
    <row r="284" spans="1:27" ht="15.75" customHeight="1" x14ac:dyDescent="0.2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</row>
    <row r="285" spans="1:27" ht="15.75" customHeight="1" x14ac:dyDescent="0.2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</row>
    <row r="286" spans="1:27" ht="15.75" customHeight="1" x14ac:dyDescent="0.2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</row>
    <row r="287" spans="1:27" ht="15.75" customHeight="1" x14ac:dyDescent="0.2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</row>
    <row r="288" spans="1:27" ht="15.75" customHeight="1" x14ac:dyDescent="0.2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</row>
    <row r="289" spans="1:27" ht="15.75" customHeight="1" x14ac:dyDescent="0.2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</row>
    <row r="290" spans="1:27" ht="15.75" customHeight="1" x14ac:dyDescent="0.2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</row>
    <row r="291" spans="1:27" ht="15.75" customHeight="1" x14ac:dyDescent="0.2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</row>
    <row r="292" spans="1:27" ht="15.75" customHeight="1" x14ac:dyDescent="0.2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</row>
    <row r="293" spans="1:27" ht="15.75" customHeight="1" x14ac:dyDescent="0.25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</row>
    <row r="294" spans="1:27" ht="15.75" customHeight="1" x14ac:dyDescent="0.25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</row>
    <row r="295" spans="1:27" ht="15.75" customHeight="1" x14ac:dyDescent="0.25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</row>
    <row r="296" spans="1:27" ht="15.75" customHeight="1" x14ac:dyDescent="0.25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</row>
    <row r="297" spans="1:27" ht="15.75" customHeight="1" x14ac:dyDescent="0.25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</row>
    <row r="298" spans="1:27" ht="15.75" customHeight="1" x14ac:dyDescent="0.25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</row>
    <row r="299" spans="1:27" ht="15.75" customHeight="1" x14ac:dyDescent="0.25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</row>
    <row r="300" spans="1:27" ht="15.75" customHeight="1" x14ac:dyDescent="0.25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</row>
    <row r="301" spans="1:27" ht="15.75" customHeight="1" x14ac:dyDescent="0.25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</row>
    <row r="302" spans="1:27" ht="15.75" customHeight="1" x14ac:dyDescent="0.25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</row>
    <row r="303" spans="1:27" ht="15.75" customHeight="1" x14ac:dyDescent="0.25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</row>
    <row r="304" spans="1:27" ht="15.75" customHeight="1" x14ac:dyDescent="0.25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</row>
    <row r="305" spans="1:27" ht="15.75" customHeight="1" x14ac:dyDescent="0.25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</row>
    <row r="306" spans="1:27" ht="15.75" customHeight="1" x14ac:dyDescent="0.25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</row>
    <row r="307" spans="1:27" ht="15.75" customHeight="1" x14ac:dyDescent="0.25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</row>
    <row r="308" spans="1:27" ht="15.75" customHeight="1" x14ac:dyDescent="0.25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</row>
    <row r="309" spans="1:27" ht="15.75" customHeight="1" x14ac:dyDescent="0.25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</row>
    <row r="310" spans="1:27" ht="15.75" customHeight="1" x14ac:dyDescent="0.25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</row>
    <row r="311" spans="1:27" ht="15.75" customHeight="1" x14ac:dyDescent="0.2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</row>
    <row r="312" spans="1:27" ht="15.75" customHeight="1" x14ac:dyDescent="0.2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</row>
    <row r="313" spans="1:27" ht="15.75" customHeight="1" x14ac:dyDescent="0.2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</row>
    <row r="314" spans="1:27" ht="15.75" customHeight="1" x14ac:dyDescent="0.2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</row>
    <row r="315" spans="1:27" ht="15.75" customHeight="1" x14ac:dyDescent="0.2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</row>
    <row r="316" spans="1:27" ht="15.75" customHeight="1" x14ac:dyDescent="0.2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</row>
    <row r="317" spans="1:27" ht="15.75" customHeight="1" x14ac:dyDescent="0.2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</row>
    <row r="318" spans="1:27" ht="15.75" customHeight="1" x14ac:dyDescent="0.2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</row>
    <row r="319" spans="1:27" ht="15.75" customHeight="1" x14ac:dyDescent="0.2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</row>
    <row r="320" spans="1:27" ht="15.75" customHeight="1" x14ac:dyDescent="0.2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</row>
    <row r="321" spans="1:27" ht="15.75" customHeight="1" x14ac:dyDescent="0.25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</row>
    <row r="322" spans="1:27" ht="15.75" customHeight="1" x14ac:dyDescent="0.25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</row>
    <row r="323" spans="1:27" ht="15.75" customHeight="1" x14ac:dyDescent="0.25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</row>
    <row r="324" spans="1:27" ht="15.75" customHeight="1" x14ac:dyDescent="0.25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</row>
    <row r="325" spans="1:27" ht="15.75" customHeight="1" x14ac:dyDescent="0.25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</row>
    <row r="326" spans="1:27" ht="15.75" customHeight="1" x14ac:dyDescent="0.25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</row>
    <row r="327" spans="1:27" ht="15.75" customHeight="1" x14ac:dyDescent="0.25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</row>
    <row r="328" spans="1:27" ht="15.75" customHeight="1" x14ac:dyDescent="0.25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</row>
    <row r="329" spans="1:27" ht="15.75" customHeight="1" x14ac:dyDescent="0.25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</row>
    <row r="330" spans="1:27" ht="15.75" customHeight="1" x14ac:dyDescent="0.25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</row>
    <row r="331" spans="1:27" ht="15.75" customHeight="1" x14ac:dyDescent="0.25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</row>
    <row r="332" spans="1:27" ht="15.75" customHeight="1" x14ac:dyDescent="0.25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</row>
    <row r="333" spans="1:27" ht="15.75" customHeight="1" x14ac:dyDescent="0.25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</row>
    <row r="334" spans="1:27" ht="15.75" customHeight="1" x14ac:dyDescent="0.25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</row>
    <row r="335" spans="1:27" ht="15.75" customHeight="1" x14ac:dyDescent="0.25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</row>
    <row r="336" spans="1:27" ht="15.75" customHeight="1" x14ac:dyDescent="0.25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</row>
    <row r="337" spans="1:27" ht="15.75" customHeight="1" x14ac:dyDescent="0.25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</row>
    <row r="338" spans="1:27" ht="15.75" customHeight="1" x14ac:dyDescent="0.25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</row>
    <row r="339" spans="1:27" ht="15.75" customHeight="1" x14ac:dyDescent="0.25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</row>
    <row r="340" spans="1:27" ht="15.75" customHeight="1" x14ac:dyDescent="0.25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</row>
    <row r="341" spans="1:27" ht="15.75" customHeight="1" x14ac:dyDescent="0.25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</row>
    <row r="342" spans="1:27" ht="15.75" customHeight="1" x14ac:dyDescent="0.25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</row>
    <row r="343" spans="1:27" ht="15.75" customHeight="1" x14ac:dyDescent="0.25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</row>
    <row r="344" spans="1:27" ht="15.75" customHeight="1" x14ac:dyDescent="0.25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</row>
    <row r="345" spans="1:27" ht="15.75" customHeight="1" x14ac:dyDescent="0.25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</row>
    <row r="346" spans="1:27" ht="15.75" customHeight="1" x14ac:dyDescent="0.25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</row>
    <row r="347" spans="1:27" ht="15.75" customHeight="1" x14ac:dyDescent="0.25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</row>
    <row r="348" spans="1:27" ht="15.75" customHeight="1" x14ac:dyDescent="0.25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</row>
    <row r="349" spans="1:27" ht="15.75" customHeight="1" x14ac:dyDescent="0.25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</row>
    <row r="350" spans="1:27" ht="15.75" customHeight="1" x14ac:dyDescent="0.25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</row>
    <row r="351" spans="1:27" ht="15.75" customHeight="1" x14ac:dyDescent="0.25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</row>
    <row r="352" spans="1:27" ht="15.75" customHeight="1" x14ac:dyDescent="0.25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</row>
    <row r="353" spans="1:27" ht="15.75" customHeight="1" x14ac:dyDescent="0.25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</row>
    <row r="354" spans="1:27" ht="15.75" customHeight="1" x14ac:dyDescent="0.25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</row>
    <row r="355" spans="1:27" ht="15.75" customHeight="1" x14ac:dyDescent="0.25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</row>
    <row r="356" spans="1:27" ht="15.75" customHeight="1" x14ac:dyDescent="0.25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</row>
    <row r="357" spans="1:27" ht="15.75" customHeight="1" x14ac:dyDescent="0.2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</row>
    <row r="358" spans="1:27" ht="15.75" customHeight="1" x14ac:dyDescent="0.25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</row>
    <row r="359" spans="1:27" ht="15.75" customHeight="1" x14ac:dyDescent="0.25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</row>
    <row r="360" spans="1:27" ht="15.75" customHeight="1" x14ac:dyDescent="0.25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</row>
    <row r="361" spans="1:27" ht="15.75" customHeight="1" x14ac:dyDescent="0.25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</row>
    <row r="362" spans="1:27" ht="15.75" customHeight="1" x14ac:dyDescent="0.25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</row>
    <row r="363" spans="1:27" ht="15.75" customHeight="1" x14ac:dyDescent="0.25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</row>
    <row r="364" spans="1:27" ht="15.75" customHeight="1" x14ac:dyDescent="0.25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</row>
    <row r="365" spans="1:27" ht="15.75" customHeight="1" x14ac:dyDescent="0.25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</row>
    <row r="366" spans="1:27" ht="15.75" customHeight="1" x14ac:dyDescent="0.25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</row>
    <row r="367" spans="1:27" ht="15.75" customHeight="1" x14ac:dyDescent="0.25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</row>
    <row r="368" spans="1:27" ht="15.75" customHeight="1" x14ac:dyDescent="0.25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</row>
    <row r="369" spans="1:27" ht="15.75" customHeight="1" x14ac:dyDescent="0.25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</row>
    <row r="370" spans="1:27" ht="15.75" customHeight="1" x14ac:dyDescent="0.25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</row>
    <row r="371" spans="1:27" ht="15.75" customHeight="1" x14ac:dyDescent="0.25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</row>
    <row r="372" spans="1:27" ht="15.75" customHeight="1" x14ac:dyDescent="0.25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</row>
    <row r="373" spans="1:27" ht="15.75" customHeight="1" x14ac:dyDescent="0.25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</row>
    <row r="374" spans="1:27" ht="15.75" customHeight="1" x14ac:dyDescent="0.25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</row>
    <row r="375" spans="1:27" ht="15.75" customHeight="1" x14ac:dyDescent="0.25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</row>
    <row r="376" spans="1:27" ht="15.75" customHeight="1" x14ac:dyDescent="0.25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</row>
    <row r="377" spans="1:27" ht="15.75" customHeight="1" x14ac:dyDescent="0.25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</row>
    <row r="378" spans="1:27" ht="15.75" customHeight="1" x14ac:dyDescent="0.25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</row>
    <row r="379" spans="1:27" ht="15.75" customHeight="1" x14ac:dyDescent="0.25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</row>
    <row r="380" spans="1:27" ht="15.75" customHeight="1" x14ac:dyDescent="0.25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</row>
    <row r="381" spans="1:27" ht="15.75" customHeight="1" x14ac:dyDescent="0.25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</row>
    <row r="382" spans="1:27" ht="15.75" customHeight="1" x14ac:dyDescent="0.25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</row>
    <row r="383" spans="1:27" ht="15.75" customHeight="1" x14ac:dyDescent="0.25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</row>
    <row r="384" spans="1:27" ht="15.75" customHeight="1" x14ac:dyDescent="0.25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</row>
    <row r="385" spans="1:27" ht="15.75" customHeight="1" x14ac:dyDescent="0.25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</row>
    <row r="386" spans="1:27" ht="15.75" customHeight="1" x14ac:dyDescent="0.25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</row>
    <row r="387" spans="1:27" ht="15.75" customHeight="1" x14ac:dyDescent="0.25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</row>
    <row r="388" spans="1:27" ht="15.75" customHeight="1" x14ac:dyDescent="0.25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</row>
    <row r="389" spans="1:27" ht="15.75" customHeight="1" x14ac:dyDescent="0.25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</row>
    <row r="390" spans="1:27" ht="15.75" customHeight="1" x14ac:dyDescent="0.25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</row>
    <row r="391" spans="1:27" ht="15.75" customHeight="1" x14ac:dyDescent="0.25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</row>
    <row r="392" spans="1:27" ht="15.75" customHeight="1" x14ac:dyDescent="0.25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</row>
    <row r="393" spans="1:27" ht="15.75" customHeight="1" x14ac:dyDescent="0.25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</row>
    <row r="394" spans="1:27" ht="15.75" customHeight="1" x14ac:dyDescent="0.25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</row>
    <row r="395" spans="1:27" ht="15.75" customHeight="1" x14ac:dyDescent="0.25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</row>
    <row r="396" spans="1:27" ht="15.75" customHeight="1" x14ac:dyDescent="0.25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</row>
    <row r="397" spans="1:27" ht="15.75" customHeight="1" x14ac:dyDescent="0.25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</row>
    <row r="398" spans="1:27" ht="15.75" customHeight="1" x14ac:dyDescent="0.25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</row>
    <row r="399" spans="1:27" ht="15.75" customHeight="1" x14ac:dyDescent="0.25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</row>
    <row r="400" spans="1:27" ht="15.75" customHeight="1" x14ac:dyDescent="0.25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</row>
    <row r="401" spans="1:27" ht="15.75" customHeight="1" x14ac:dyDescent="0.25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</row>
    <row r="402" spans="1:27" ht="15.75" customHeight="1" x14ac:dyDescent="0.25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</row>
    <row r="403" spans="1:27" ht="15.75" customHeight="1" x14ac:dyDescent="0.25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</row>
    <row r="404" spans="1:27" ht="15.75" customHeight="1" x14ac:dyDescent="0.25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</row>
    <row r="405" spans="1:27" ht="15.75" customHeight="1" x14ac:dyDescent="0.25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</row>
    <row r="406" spans="1:27" ht="15.75" customHeight="1" x14ac:dyDescent="0.25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</row>
    <row r="407" spans="1:27" ht="15.75" customHeight="1" x14ac:dyDescent="0.25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</row>
    <row r="408" spans="1:27" ht="15.75" customHeight="1" x14ac:dyDescent="0.25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</row>
    <row r="409" spans="1:27" ht="15.75" customHeight="1" x14ac:dyDescent="0.25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</row>
    <row r="410" spans="1:27" ht="15.75" customHeight="1" x14ac:dyDescent="0.25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</row>
    <row r="411" spans="1:27" ht="15.75" customHeight="1" x14ac:dyDescent="0.25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</row>
    <row r="412" spans="1:27" ht="15.75" customHeight="1" x14ac:dyDescent="0.25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</row>
    <row r="413" spans="1:27" ht="15.75" customHeight="1" x14ac:dyDescent="0.25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</row>
    <row r="414" spans="1:27" ht="15.75" customHeight="1" x14ac:dyDescent="0.25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</row>
    <row r="415" spans="1:27" ht="15.75" customHeight="1" x14ac:dyDescent="0.25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</row>
    <row r="416" spans="1:27" ht="15.75" customHeight="1" x14ac:dyDescent="0.25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</row>
    <row r="417" spans="1:27" ht="15.75" customHeight="1" x14ac:dyDescent="0.25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</row>
    <row r="418" spans="1:27" ht="15.75" customHeight="1" x14ac:dyDescent="0.25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</row>
    <row r="419" spans="1:27" ht="15.75" customHeight="1" x14ac:dyDescent="0.25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</row>
    <row r="420" spans="1:27" ht="15.75" customHeight="1" x14ac:dyDescent="0.25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</row>
    <row r="421" spans="1:27" ht="15.75" customHeight="1" x14ac:dyDescent="0.25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</row>
    <row r="422" spans="1:27" ht="15.75" customHeight="1" x14ac:dyDescent="0.25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</row>
    <row r="423" spans="1:27" ht="15.75" customHeight="1" x14ac:dyDescent="0.25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</row>
    <row r="424" spans="1:27" ht="15.75" customHeight="1" x14ac:dyDescent="0.25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</row>
    <row r="425" spans="1:27" ht="15.75" customHeight="1" x14ac:dyDescent="0.25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</row>
    <row r="426" spans="1:27" ht="15.75" customHeight="1" x14ac:dyDescent="0.25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</row>
    <row r="427" spans="1:27" ht="15.75" customHeight="1" x14ac:dyDescent="0.25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</row>
    <row r="428" spans="1:27" ht="15.75" customHeight="1" x14ac:dyDescent="0.25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</row>
    <row r="429" spans="1:27" ht="15.75" customHeight="1" x14ac:dyDescent="0.25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</row>
    <row r="430" spans="1:27" ht="15.75" customHeight="1" x14ac:dyDescent="0.25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</row>
    <row r="431" spans="1:27" ht="15.75" customHeight="1" x14ac:dyDescent="0.25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</row>
    <row r="432" spans="1:27" ht="15.75" customHeight="1" x14ac:dyDescent="0.25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</row>
    <row r="433" spans="1:27" ht="15.75" customHeight="1" x14ac:dyDescent="0.2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</row>
    <row r="434" spans="1:27" ht="15.75" customHeight="1" x14ac:dyDescent="0.2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</row>
    <row r="435" spans="1:27" ht="15.75" customHeight="1" x14ac:dyDescent="0.2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</row>
    <row r="436" spans="1:27" ht="15.75" customHeight="1" x14ac:dyDescent="0.2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</row>
    <row r="437" spans="1:27" ht="15.75" customHeight="1" x14ac:dyDescent="0.2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</row>
    <row r="438" spans="1:27" ht="15.75" customHeight="1" x14ac:dyDescent="0.2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</row>
    <row r="439" spans="1:27" ht="15.75" customHeight="1" x14ac:dyDescent="0.25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</row>
    <row r="440" spans="1:27" ht="15.75" customHeight="1" x14ac:dyDescent="0.25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</row>
    <row r="441" spans="1:27" ht="15.75" customHeight="1" x14ac:dyDescent="0.25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</row>
    <row r="442" spans="1:27" ht="15.75" customHeight="1" x14ac:dyDescent="0.25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</row>
    <row r="443" spans="1:27" ht="15.75" customHeight="1" x14ac:dyDescent="0.25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</row>
    <row r="444" spans="1:27" ht="15.75" customHeight="1" x14ac:dyDescent="0.25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</row>
    <row r="445" spans="1:27" ht="15.75" customHeight="1" x14ac:dyDescent="0.25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</row>
    <row r="446" spans="1:27" ht="15.75" customHeight="1" x14ac:dyDescent="0.25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</row>
    <row r="447" spans="1:27" ht="15.75" customHeight="1" x14ac:dyDescent="0.25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</row>
    <row r="448" spans="1:27" ht="15.75" customHeight="1" x14ac:dyDescent="0.25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</row>
    <row r="449" spans="1:27" ht="15.75" customHeight="1" x14ac:dyDescent="0.25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</row>
    <row r="450" spans="1:27" ht="15.75" customHeight="1" x14ac:dyDescent="0.25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</row>
    <row r="451" spans="1:27" ht="15.75" customHeight="1" x14ac:dyDescent="0.25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</row>
    <row r="452" spans="1:27" ht="15.75" customHeight="1" x14ac:dyDescent="0.25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</row>
    <row r="453" spans="1:27" ht="15.75" customHeight="1" x14ac:dyDescent="0.25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</row>
    <row r="454" spans="1:27" ht="15.75" customHeight="1" x14ac:dyDescent="0.25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</row>
    <row r="455" spans="1:27" ht="15.75" customHeight="1" x14ac:dyDescent="0.25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</row>
    <row r="456" spans="1:27" ht="15.75" customHeight="1" x14ac:dyDescent="0.25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</row>
    <row r="457" spans="1:27" ht="15.75" customHeight="1" x14ac:dyDescent="0.2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</row>
    <row r="458" spans="1:27" ht="15.75" customHeight="1" x14ac:dyDescent="0.2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</row>
    <row r="459" spans="1:27" ht="15.75" customHeight="1" x14ac:dyDescent="0.2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</row>
    <row r="460" spans="1:27" ht="15.75" customHeight="1" x14ac:dyDescent="0.2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</row>
    <row r="461" spans="1:27" ht="15.75" customHeight="1" x14ac:dyDescent="0.2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</row>
    <row r="462" spans="1:27" ht="15.75" customHeight="1" x14ac:dyDescent="0.2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</row>
    <row r="463" spans="1:27" ht="15.75" customHeight="1" x14ac:dyDescent="0.2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</row>
    <row r="464" spans="1:27" ht="15.75" customHeight="1" x14ac:dyDescent="0.2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</row>
    <row r="465" spans="1:27" ht="15.75" customHeight="1" x14ac:dyDescent="0.25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</row>
    <row r="466" spans="1:27" ht="15.75" customHeight="1" x14ac:dyDescent="0.25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</row>
    <row r="467" spans="1:27" ht="15.75" customHeight="1" x14ac:dyDescent="0.25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</row>
    <row r="468" spans="1:27" ht="15.75" customHeight="1" x14ac:dyDescent="0.25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</row>
    <row r="469" spans="1:27" ht="15.75" customHeight="1" x14ac:dyDescent="0.25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</row>
    <row r="470" spans="1:27" ht="15.75" customHeight="1" x14ac:dyDescent="0.25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</row>
    <row r="471" spans="1:27" ht="15.75" customHeight="1" x14ac:dyDescent="0.25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</row>
    <row r="472" spans="1:27" ht="15.75" customHeight="1" x14ac:dyDescent="0.25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</row>
    <row r="473" spans="1:27" ht="15.75" customHeight="1" x14ac:dyDescent="0.25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</row>
    <row r="474" spans="1:27" ht="15.75" customHeight="1" x14ac:dyDescent="0.25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</row>
    <row r="475" spans="1:27" ht="15.75" customHeight="1" x14ac:dyDescent="0.25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</row>
    <row r="476" spans="1:27" ht="15.75" customHeight="1" x14ac:dyDescent="0.25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</row>
    <row r="477" spans="1:27" ht="15.75" customHeight="1" x14ac:dyDescent="0.25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</row>
    <row r="478" spans="1:27" ht="15.75" customHeight="1" x14ac:dyDescent="0.25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</row>
    <row r="479" spans="1:27" ht="15.75" customHeight="1" x14ac:dyDescent="0.25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</row>
    <row r="480" spans="1:27" ht="15.75" customHeight="1" x14ac:dyDescent="0.25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</row>
    <row r="481" spans="1:27" ht="15.75" customHeight="1" x14ac:dyDescent="0.25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</row>
    <row r="482" spans="1:27" ht="15.75" customHeight="1" x14ac:dyDescent="0.25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</row>
    <row r="483" spans="1:27" ht="15.75" customHeight="1" x14ac:dyDescent="0.25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</row>
    <row r="484" spans="1:27" ht="15.75" customHeight="1" x14ac:dyDescent="0.25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</row>
    <row r="485" spans="1:27" ht="15.75" customHeight="1" x14ac:dyDescent="0.25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</row>
    <row r="486" spans="1:27" ht="15.75" customHeight="1" x14ac:dyDescent="0.25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</row>
    <row r="487" spans="1:27" ht="15.75" customHeight="1" x14ac:dyDescent="0.25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</row>
    <row r="488" spans="1:27" ht="15.75" customHeight="1" x14ac:dyDescent="0.25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</row>
    <row r="489" spans="1:27" ht="15.75" customHeight="1" x14ac:dyDescent="0.25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</row>
    <row r="490" spans="1:27" ht="15.75" customHeight="1" x14ac:dyDescent="0.25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</row>
    <row r="491" spans="1:27" ht="15.75" customHeight="1" x14ac:dyDescent="0.25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</row>
    <row r="492" spans="1:27" ht="15.75" customHeight="1" x14ac:dyDescent="0.25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</row>
    <row r="493" spans="1:27" ht="15.75" customHeight="1" x14ac:dyDescent="0.25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</row>
    <row r="494" spans="1:27" ht="15.75" customHeight="1" x14ac:dyDescent="0.25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</row>
    <row r="495" spans="1:27" ht="15.75" customHeight="1" x14ac:dyDescent="0.25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</row>
    <row r="496" spans="1:27" ht="15.75" customHeight="1" x14ac:dyDescent="0.25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</row>
    <row r="497" spans="1:27" ht="15.75" customHeight="1" x14ac:dyDescent="0.25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</row>
    <row r="498" spans="1:27" ht="15.75" customHeight="1" x14ac:dyDescent="0.25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</row>
    <row r="499" spans="1:27" ht="15.75" customHeight="1" x14ac:dyDescent="0.25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</row>
    <row r="500" spans="1:27" ht="15.75" customHeight="1" x14ac:dyDescent="0.25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</row>
    <row r="501" spans="1:27" ht="15.75" customHeight="1" x14ac:dyDescent="0.25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</row>
    <row r="502" spans="1:27" ht="15.75" customHeight="1" x14ac:dyDescent="0.25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</row>
    <row r="503" spans="1:27" ht="15.75" customHeight="1" x14ac:dyDescent="0.25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</row>
    <row r="504" spans="1:27" ht="15.75" customHeight="1" x14ac:dyDescent="0.25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</row>
    <row r="505" spans="1:27" ht="15.75" customHeight="1" x14ac:dyDescent="0.25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</row>
    <row r="506" spans="1:27" ht="15.75" customHeight="1" x14ac:dyDescent="0.25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</row>
    <row r="507" spans="1:27" ht="15.75" customHeight="1" x14ac:dyDescent="0.25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</row>
    <row r="508" spans="1:27" ht="15.75" customHeight="1" x14ac:dyDescent="0.25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</row>
    <row r="509" spans="1:27" ht="15.75" customHeight="1" x14ac:dyDescent="0.25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</row>
    <row r="510" spans="1:27" ht="15.75" customHeight="1" x14ac:dyDescent="0.25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</row>
    <row r="511" spans="1:27" ht="15.75" customHeight="1" x14ac:dyDescent="0.25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</row>
    <row r="512" spans="1:27" ht="15.75" customHeight="1" x14ac:dyDescent="0.25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</row>
    <row r="513" spans="1:27" ht="15.75" customHeight="1" x14ac:dyDescent="0.25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</row>
    <row r="514" spans="1:27" ht="15.75" customHeight="1" x14ac:dyDescent="0.25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</row>
    <row r="515" spans="1:27" ht="15.75" customHeight="1" x14ac:dyDescent="0.25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</row>
    <row r="516" spans="1:27" ht="15.75" customHeight="1" x14ac:dyDescent="0.25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</row>
    <row r="517" spans="1:27" ht="15.75" customHeight="1" x14ac:dyDescent="0.25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</row>
    <row r="518" spans="1:27" ht="15.75" customHeight="1" x14ac:dyDescent="0.25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</row>
    <row r="519" spans="1:27" ht="15.75" customHeight="1" x14ac:dyDescent="0.25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</row>
    <row r="520" spans="1:27" ht="15.75" customHeight="1" x14ac:dyDescent="0.25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</row>
    <row r="521" spans="1:27" ht="15.75" customHeight="1" x14ac:dyDescent="0.25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</row>
    <row r="522" spans="1:27" ht="15.75" customHeight="1" x14ac:dyDescent="0.25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</row>
    <row r="523" spans="1:27" ht="15.75" customHeight="1" x14ac:dyDescent="0.25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</row>
    <row r="524" spans="1:27" ht="15.75" customHeight="1" x14ac:dyDescent="0.25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</row>
    <row r="525" spans="1:27" ht="15.75" customHeight="1" x14ac:dyDescent="0.25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</row>
    <row r="526" spans="1:27" ht="15.75" customHeight="1" x14ac:dyDescent="0.25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</row>
    <row r="527" spans="1:27" ht="15.75" customHeight="1" x14ac:dyDescent="0.25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</row>
    <row r="528" spans="1:27" ht="15.75" customHeight="1" x14ac:dyDescent="0.25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</row>
    <row r="529" spans="1:27" ht="15.75" customHeight="1" x14ac:dyDescent="0.25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</row>
    <row r="530" spans="1:27" ht="15.75" customHeight="1" x14ac:dyDescent="0.25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</row>
    <row r="531" spans="1:27" ht="15.75" customHeight="1" x14ac:dyDescent="0.25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</row>
    <row r="532" spans="1:27" ht="15.75" customHeight="1" x14ac:dyDescent="0.25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</row>
    <row r="533" spans="1:27" ht="15.75" customHeight="1" x14ac:dyDescent="0.25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</row>
    <row r="534" spans="1:27" ht="15.75" customHeight="1" x14ac:dyDescent="0.25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</row>
    <row r="535" spans="1:27" ht="15.75" customHeight="1" x14ac:dyDescent="0.25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</row>
    <row r="536" spans="1:27" ht="15.75" customHeight="1" x14ac:dyDescent="0.25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</row>
    <row r="537" spans="1:27" ht="15.75" customHeight="1" x14ac:dyDescent="0.25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</row>
    <row r="538" spans="1:27" ht="15.75" customHeight="1" x14ac:dyDescent="0.25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</row>
    <row r="539" spans="1:27" ht="15.75" customHeight="1" x14ac:dyDescent="0.25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</row>
    <row r="540" spans="1:27" ht="15.75" customHeight="1" x14ac:dyDescent="0.25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</row>
    <row r="541" spans="1:27" ht="15.75" customHeight="1" x14ac:dyDescent="0.25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</row>
    <row r="542" spans="1:27" ht="15.75" customHeight="1" x14ac:dyDescent="0.25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</row>
    <row r="543" spans="1:27" ht="15.75" customHeight="1" x14ac:dyDescent="0.25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</row>
    <row r="544" spans="1:27" ht="15.75" customHeight="1" x14ac:dyDescent="0.25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</row>
    <row r="545" spans="1:27" ht="15.75" customHeight="1" x14ac:dyDescent="0.25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</row>
    <row r="546" spans="1:27" ht="15.75" customHeight="1" x14ac:dyDescent="0.25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1:27" ht="15.75" customHeight="1" x14ac:dyDescent="0.25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1:27" ht="15.75" customHeight="1" x14ac:dyDescent="0.25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1:27" ht="15.75" customHeight="1" x14ac:dyDescent="0.25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1:27" ht="15.75" customHeight="1" x14ac:dyDescent="0.25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1:27" ht="15.75" customHeight="1" x14ac:dyDescent="0.25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1:27" ht="15.75" customHeight="1" x14ac:dyDescent="0.25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</row>
    <row r="553" spans="1:27" ht="15.75" customHeight="1" x14ac:dyDescent="0.25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1:27" ht="15.75" customHeight="1" x14ac:dyDescent="0.25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1:27" ht="15.75" customHeight="1" x14ac:dyDescent="0.25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1:27" ht="15.75" customHeight="1" x14ac:dyDescent="0.25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1:27" ht="15.75" customHeight="1" x14ac:dyDescent="0.25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1:27" ht="15.75" customHeight="1" x14ac:dyDescent="0.25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1:27" ht="15.75" customHeight="1" x14ac:dyDescent="0.25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1:27" ht="15.75" customHeight="1" x14ac:dyDescent="0.25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1:27" ht="15.75" customHeight="1" x14ac:dyDescent="0.25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1:27" ht="15.75" customHeight="1" x14ac:dyDescent="0.25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1:27" ht="15.75" customHeight="1" x14ac:dyDescent="0.25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1:27" ht="15.75" customHeight="1" x14ac:dyDescent="0.25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1:27" ht="15.75" customHeight="1" x14ac:dyDescent="0.25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</row>
    <row r="566" spans="1:27" ht="15.75" customHeight="1" x14ac:dyDescent="0.25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1:27" ht="15.75" customHeight="1" x14ac:dyDescent="0.25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1:27" ht="15.75" customHeight="1" x14ac:dyDescent="0.25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1:27" ht="15.75" customHeight="1" x14ac:dyDescent="0.25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1:27" ht="15.75" customHeight="1" x14ac:dyDescent="0.25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1:27" ht="15.75" customHeight="1" x14ac:dyDescent="0.25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1:27" ht="15.75" customHeight="1" x14ac:dyDescent="0.25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1:27" ht="15.75" customHeight="1" x14ac:dyDescent="0.25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1:27" ht="15.75" customHeight="1" x14ac:dyDescent="0.25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1:27" ht="15.75" customHeight="1" x14ac:dyDescent="0.25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1:27" ht="15.75" customHeight="1" x14ac:dyDescent="0.25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1:27" ht="15.75" customHeight="1" x14ac:dyDescent="0.25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1:27" ht="15.75" customHeight="1" x14ac:dyDescent="0.25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</row>
    <row r="579" spans="1:27" ht="15.75" customHeight="1" x14ac:dyDescent="0.25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1:27" ht="15.75" customHeight="1" x14ac:dyDescent="0.25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1:27" ht="15.75" customHeight="1" x14ac:dyDescent="0.25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1:27" ht="15.75" customHeight="1" x14ac:dyDescent="0.25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1:27" ht="15.75" customHeight="1" x14ac:dyDescent="0.25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1:27" ht="15.75" customHeight="1" x14ac:dyDescent="0.25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1:27" ht="15.75" customHeight="1" x14ac:dyDescent="0.25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1:27" ht="15.75" customHeight="1" x14ac:dyDescent="0.25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1:27" ht="15.75" customHeight="1" x14ac:dyDescent="0.25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1:27" ht="15.75" customHeight="1" x14ac:dyDescent="0.25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1:27" ht="15.75" customHeight="1" x14ac:dyDescent="0.25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1:27" ht="15.75" customHeight="1" x14ac:dyDescent="0.25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1:27" ht="15.75" customHeight="1" x14ac:dyDescent="0.25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</row>
    <row r="592" spans="1:27" ht="15.75" customHeight="1" x14ac:dyDescent="0.25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1:27" ht="15.75" customHeight="1" x14ac:dyDescent="0.25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1:27" ht="15.75" customHeight="1" x14ac:dyDescent="0.25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1:27" ht="15.75" customHeight="1" x14ac:dyDescent="0.25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1:27" ht="15.75" customHeight="1" x14ac:dyDescent="0.25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1:27" ht="15.75" customHeight="1" x14ac:dyDescent="0.25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1:27" ht="15.75" customHeight="1" x14ac:dyDescent="0.25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1:27" ht="15.75" customHeight="1" x14ac:dyDescent="0.25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1:27" ht="15.75" customHeight="1" x14ac:dyDescent="0.25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1:27" ht="15.75" customHeight="1" x14ac:dyDescent="0.25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1:27" ht="15.75" customHeight="1" x14ac:dyDescent="0.25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1:27" ht="15.75" customHeight="1" x14ac:dyDescent="0.25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1:27" ht="15.75" customHeight="1" x14ac:dyDescent="0.25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</row>
    <row r="605" spans="1:27" ht="15.75" customHeight="1" x14ac:dyDescent="0.25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1:27" ht="15.75" customHeight="1" x14ac:dyDescent="0.25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1:27" ht="15.75" customHeight="1" x14ac:dyDescent="0.25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1:27" ht="15.75" customHeight="1" x14ac:dyDescent="0.25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1:27" ht="15.75" customHeight="1" x14ac:dyDescent="0.25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1:27" ht="15.75" customHeight="1" x14ac:dyDescent="0.25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1:27" ht="15.75" customHeight="1" x14ac:dyDescent="0.25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1:27" ht="15.75" customHeight="1" x14ac:dyDescent="0.25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1:27" ht="15.75" customHeight="1" x14ac:dyDescent="0.25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1:27" ht="15.75" customHeight="1" x14ac:dyDescent="0.25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1:27" ht="15.75" customHeight="1" x14ac:dyDescent="0.25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1:27" ht="15.75" customHeight="1" x14ac:dyDescent="0.25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1:27" ht="15.75" customHeight="1" x14ac:dyDescent="0.25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</row>
    <row r="618" spans="1:27" ht="15.75" customHeight="1" x14ac:dyDescent="0.25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1:27" ht="15.75" customHeight="1" x14ac:dyDescent="0.25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1:27" ht="15.75" customHeight="1" x14ac:dyDescent="0.25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1:27" ht="15.75" customHeight="1" x14ac:dyDescent="0.25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1:27" ht="15.75" customHeight="1" x14ac:dyDescent="0.25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1:27" ht="15.75" customHeight="1" x14ac:dyDescent="0.25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1:27" ht="15.75" customHeight="1" x14ac:dyDescent="0.25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1:27" ht="15.75" customHeight="1" x14ac:dyDescent="0.25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1:27" ht="15.75" customHeight="1" x14ac:dyDescent="0.25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1:27" ht="15.75" customHeight="1" x14ac:dyDescent="0.25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1:27" ht="15.75" customHeight="1" x14ac:dyDescent="0.25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1:27" ht="15.75" customHeight="1" x14ac:dyDescent="0.25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1:27" ht="15.75" customHeight="1" x14ac:dyDescent="0.25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</row>
    <row r="631" spans="1:27" ht="15.75" customHeight="1" x14ac:dyDescent="0.25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1:27" ht="15.75" customHeight="1" x14ac:dyDescent="0.25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1:27" ht="15.75" customHeight="1" x14ac:dyDescent="0.25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1:27" ht="15.75" customHeight="1" x14ac:dyDescent="0.25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1:27" ht="15.75" customHeight="1" x14ac:dyDescent="0.25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1:27" ht="15.75" customHeight="1" x14ac:dyDescent="0.25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1:27" ht="15.75" customHeight="1" x14ac:dyDescent="0.25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1:27" ht="15.75" customHeight="1" x14ac:dyDescent="0.25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1:27" ht="15.75" customHeight="1" x14ac:dyDescent="0.25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1:27" ht="15.75" customHeight="1" x14ac:dyDescent="0.25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1:27" ht="15.75" customHeight="1" x14ac:dyDescent="0.25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1:27" ht="15.75" customHeight="1" x14ac:dyDescent="0.25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1:27" ht="15.75" customHeight="1" x14ac:dyDescent="0.25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1:27" ht="15.75" customHeight="1" x14ac:dyDescent="0.25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1:27" ht="15.75" customHeight="1" x14ac:dyDescent="0.25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1:27" ht="15.75" customHeight="1" x14ac:dyDescent="0.25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1:27" ht="15.75" customHeight="1" x14ac:dyDescent="0.25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1:27" ht="15.75" customHeight="1" x14ac:dyDescent="0.25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1:27" ht="15.75" customHeight="1" x14ac:dyDescent="0.25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1:27" ht="15.75" customHeight="1" x14ac:dyDescent="0.25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1:27" ht="15.75" customHeight="1" x14ac:dyDescent="0.25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1:27" ht="15.75" customHeight="1" x14ac:dyDescent="0.25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1:27" ht="15.75" customHeight="1" x14ac:dyDescent="0.25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1:27" ht="15.75" customHeight="1" x14ac:dyDescent="0.25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1:27" ht="15.75" customHeight="1" x14ac:dyDescent="0.25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1:27" ht="15.75" customHeight="1" x14ac:dyDescent="0.25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1:27" ht="15.75" customHeight="1" x14ac:dyDescent="0.25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1:27" ht="15.75" customHeight="1" x14ac:dyDescent="0.25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1:27" ht="15.75" customHeight="1" x14ac:dyDescent="0.25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1:27" ht="15.75" customHeight="1" x14ac:dyDescent="0.25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1:27" ht="15.75" customHeight="1" x14ac:dyDescent="0.25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1:27" ht="15.75" customHeight="1" x14ac:dyDescent="0.25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1:27" ht="15.75" customHeight="1" x14ac:dyDescent="0.25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1:27" ht="15.75" customHeight="1" x14ac:dyDescent="0.25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1:27" ht="15.75" customHeight="1" x14ac:dyDescent="0.25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1:27" ht="15.75" customHeight="1" x14ac:dyDescent="0.25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1:27" ht="15.75" customHeight="1" x14ac:dyDescent="0.25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1:27" ht="15.75" customHeight="1" x14ac:dyDescent="0.25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1:27" ht="15.75" customHeight="1" x14ac:dyDescent="0.25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1:27" ht="15.75" customHeight="1" x14ac:dyDescent="0.25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1:27" ht="15.75" customHeight="1" x14ac:dyDescent="0.25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1:27" ht="15.75" customHeight="1" x14ac:dyDescent="0.25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1:27" ht="15.75" customHeight="1" x14ac:dyDescent="0.25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1:27" ht="15.75" customHeight="1" x14ac:dyDescent="0.25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1:27" ht="15.75" customHeight="1" x14ac:dyDescent="0.25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1:27" ht="15.75" customHeight="1" x14ac:dyDescent="0.25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1:27" ht="15.75" customHeight="1" x14ac:dyDescent="0.25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1:27" ht="15.75" customHeight="1" x14ac:dyDescent="0.25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1:27" ht="15.75" customHeight="1" x14ac:dyDescent="0.25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1:27" ht="15.75" customHeight="1" x14ac:dyDescent="0.25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1:27" ht="15.75" customHeight="1" x14ac:dyDescent="0.25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1:27" ht="15.75" customHeight="1" x14ac:dyDescent="0.25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1:27" ht="15.75" customHeight="1" x14ac:dyDescent="0.25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1:27" ht="15.75" customHeight="1" x14ac:dyDescent="0.25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1:27" ht="15.75" customHeight="1" x14ac:dyDescent="0.25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1:27" ht="15.75" customHeight="1" x14ac:dyDescent="0.25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1:27" ht="15.75" customHeight="1" x14ac:dyDescent="0.25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1:27" ht="15.75" customHeight="1" x14ac:dyDescent="0.25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1:27" ht="15.75" customHeight="1" x14ac:dyDescent="0.25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1:27" ht="15.75" customHeight="1" x14ac:dyDescent="0.25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1:27" ht="15.75" customHeight="1" x14ac:dyDescent="0.25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1:27" ht="15.75" customHeight="1" x14ac:dyDescent="0.25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1:27" ht="15.75" customHeight="1" x14ac:dyDescent="0.25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1:27" ht="15.75" customHeight="1" x14ac:dyDescent="0.25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1:27" ht="15.75" customHeight="1" x14ac:dyDescent="0.25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1:27" ht="15.75" customHeight="1" x14ac:dyDescent="0.25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1:27" ht="15.75" customHeight="1" x14ac:dyDescent="0.25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1:27" ht="15.75" customHeight="1" x14ac:dyDescent="0.25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1:27" ht="15.75" customHeight="1" x14ac:dyDescent="0.25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1:27" ht="15.75" customHeight="1" x14ac:dyDescent="0.25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1:27" ht="15.75" customHeight="1" x14ac:dyDescent="0.25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1:27" ht="15.75" customHeight="1" x14ac:dyDescent="0.25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1:27" ht="15.75" customHeight="1" x14ac:dyDescent="0.25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1:27" ht="15.75" customHeight="1" x14ac:dyDescent="0.25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1:27" ht="15.75" customHeight="1" x14ac:dyDescent="0.25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1:27" ht="15.75" customHeight="1" x14ac:dyDescent="0.25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1:27" ht="15.75" customHeight="1" x14ac:dyDescent="0.25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1:27" ht="15.75" customHeight="1" x14ac:dyDescent="0.25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1:27" ht="15.75" customHeight="1" x14ac:dyDescent="0.25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1:27" ht="15.75" customHeight="1" x14ac:dyDescent="0.25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1:27" ht="15.75" customHeight="1" x14ac:dyDescent="0.25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1:27" ht="15.75" customHeight="1" x14ac:dyDescent="0.25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1:27" ht="15.75" customHeight="1" x14ac:dyDescent="0.25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1:27" ht="15.75" customHeight="1" x14ac:dyDescent="0.25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1:27" ht="15.75" customHeight="1" x14ac:dyDescent="0.25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1:27" ht="15.75" customHeight="1" x14ac:dyDescent="0.25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1:27" ht="15.75" customHeight="1" x14ac:dyDescent="0.25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1:27" ht="15.75" customHeight="1" x14ac:dyDescent="0.25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1:27" ht="15.75" customHeight="1" x14ac:dyDescent="0.25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1:27" ht="15.75" customHeight="1" x14ac:dyDescent="0.25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1:27" ht="15.75" customHeight="1" x14ac:dyDescent="0.2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1:27" ht="15.75" customHeight="1" x14ac:dyDescent="0.2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1:27" ht="15.75" customHeight="1" x14ac:dyDescent="0.2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1:27" ht="15.75" customHeight="1" x14ac:dyDescent="0.2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1:27" ht="15.75" customHeight="1" x14ac:dyDescent="0.2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1:27" ht="15.75" customHeight="1" x14ac:dyDescent="0.2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1:27" ht="15.75" customHeight="1" x14ac:dyDescent="0.2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1:27" ht="15.75" customHeight="1" x14ac:dyDescent="0.2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1:27" ht="15.75" customHeight="1" x14ac:dyDescent="0.2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1:27" ht="15.75" customHeight="1" x14ac:dyDescent="0.2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1:27" ht="15.75" customHeight="1" x14ac:dyDescent="0.25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1:27" ht="15.75" customHeight="1" x14ac:dyDescent="0.25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1:27" ht="15.75" customHeight="1" x14ac:dyDescent="0.25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1:27" ht="15.75" customHeight="1" x14ac:dyDescent="0.25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1:27" ht="15.75" customHeight="1" x14ac:dyDescent="0.25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1:27" ht="15.75" customHeight="1" x14ac:dyDescent="0.25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1:27" ht="15.75" customHeight="1" x14ac:dyDescent="0.25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1:27" ht="15.75" customHeight="1" x14ac:dyDescent="0.25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1:27" ht="15.75" customHeight="1" x14ac:dyDescent="0.25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1:27" ht="15.75" customHeight="1" x14ac:dyDescent="0.25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1:27" ht="15.75" customHeight="1" x14ac:dyDescent="0.25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1:27" ht="15.75" customHeight="1" x14ac:dyDescent="0.25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1:27" ht="15.75" customHeight="1" x14ac:dyDescent="0.25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1:27" ht="15.75" customHeight="1" x14ac:dyDescent="0.25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1:27" ht="15.75" customHeight="1" x14ac:dyDescent="0.25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1:27" ht="15.75" customHeight="1" x14ac:dyDescent="0.25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1:27" ht="15.75" customHeight="1" x14ac:dyDescent="0.25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  <row r="748" spans="1:27" ht="15.75" customHeight="1" x14ac:dyDescent="0.25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</row>
    <row r="749" spans="1:27" ht="15.75" customHeight="1" x14ac:dyDescent="0.2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</row>
    <row r="750" spans="1:27" ht="15.75" customHeight="1" x14ac:dyDescent="0.2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</row>
    <row r="751" spans="1:27" ht="15.75" customHeight="1" x14ac:dyDescent="0.2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</row>
    <row r="752" spans="1:27" ht="15.75" customHeight="1" x14ac:dyDescent="0.2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</row>
    <row r="753" spans="1:27" ht="15.75" customHeight="1" x14ac:dyDescent="0.2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</row>
    <row r="754" spans="1:27" ht="15.75" customHeight="1" x14ac:dyDescent="0.2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</row>
    <row r="755" spans="1:27" ht="15.75" customHeight="1" x14ac:dyDescent="0.2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</row>
    <row r="756" spans="1:27" ht="15.75" customHeight="1" x14ac:dyDescent="0.2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</row>
    <row r="757" spans="1:27" ht="15.75" customHeight="1" x14ac:dyDescent="0.2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</row>
    <row r="758" spans="1:27" ht="15.75" customHeight="1" x14ac:dyDescent="0.2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</row>
    <row r="759" spans="1:27" ht="15.75" customHeight="1" x14ac:dyDescent="0.2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</row>
    <row r="760" spans="1:27" ht="15.75" customHeight="1" x14ac:dyDescent="0.2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</row>
    <row r="761" spans="1:27" ht="15.75" customHeight="1" x14ac:dyDescent="0.2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</row>
    <row r="762" spans="1:27" ht="15.75" customHeight="1" x14ac:dyDescent="0.2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</row>
    <row r="763" spans="1:27" ht="15.75" customHeight="1" x14ac:dyDescent="0.2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</row>
    <row r="764" spans="1:27" ht="15.75" customHeight="1" x14ac:dyDescent="0.2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</row>
    <row r="765" spans="1:27" ht="15.75" customHeight="1" x14ac:dyDescent="0.2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</row>
    <row r="766" spans="1:27" ht="15.75" customHeight="1" x14ac:dyDescent="0.2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</row>
    <row r="767" spans="1:27" ht="15.75" customHeight="1" x14ac:dyDescent="0.2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</row>
    <row r="768" spans="1:27" ht="15.75" customHeight="1" x14ac:dyDescent="0.2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</row>
    <row r="769" spans="1:27" ht="15.75" customHeight="1" x14ac:dyDescent="0.25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</row>
    <row r="770" spans="1:27" ht="15.75" customHeight="1" x14ac:dyDescent="0.25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</row>
    <row r="771" spans="1:27" ht="15.75" customHeight="1" x14ac:dyDescent="0.25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</row>
    <row r="772" spans="1:27" ht="15.75" customHeight="1" x14ac:dyDescent="0.25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</row>
    <row r="773" spans="1:27" ht="15.75" customHeight="1" x14ac:dyDescent="0.25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</row>
    <row r="774" spans="1:27" ht="15.75" customHeight="1" x14ac:dyDescent="0.25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</row>
    <row r="775" spans="1:27" ht="15.75" customHeight="1" x14ac:dyDescent="0.25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</row>
    <row r="776" spans="1:27" ht="15.75" customHeight="1" x14ac:dyDescent="0.25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</row>
    <row r="777" spans="1:27" ht="15.75" customHeight="1" x14ac:dyDescent="0.25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</row>
    <row r="778" spans="1:27" ht="15.75" customHeight="1" x14ac:dyDescent="0.25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</row>
    <row r="779" spans="1:27" ht="15.75" customHeight="1" x14ac:dyDescent="0.25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</row>
    <row r="780" spans="1:27" ht="15.75" customHeight="1" x14ac:dyDescent="0.25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</row>
    <row r="781" spans="1:27" ht="15.75" customHeight="1" x14ac:dyDescent="0.25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</row>
    <row r="782" spans="1:27" ht="15.75" customHeight="1" x14ac:dyDescent="0.25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</row>
    <row r="783" spans="1:27" ht="15.75" customHeight="1" x14ac:dyDescent="0.25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</row>
    <row r="784" spans="1:27" ht="15.75" customHeight="1" x14ac:dyDescent="0.25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</row>
    <row r="785" spans="1:27" ht="15.75" customHeight="1" x14ac:dyDescent="0.25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</row>
    <row r="786" spans="1:27" ht="15.75" customHeight="1" x14ac:dyDescent="0.25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</row>
    <row r="787" spans="1:27" ht="15.75" customHeight="1" x14ac:dyDescent="0.25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</row>
    <row r="788" spans="1:27" ht="15.75" customHeight="1" x14ac:dyDescent="0.25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</row>
    <row r="789" spans="1:27" ht="15.75" customHeight="1" x14ac:dyDescent="0.25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</row>
    <row r="790" spans="1:27" ht="15.75" customHeight="1" x14ac:dyDescent="0.25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</row>
    <row r="791" spans="1:27" ht="15.75" customHeight="1" x14ac:dyDescent="0.25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</row>
    <row r="792" spans="1:27" ht="15.75" customHeight="1" x14ac:dyDescent="0.25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</row>
    <row r="793" spans="1:27" ht="15.75" customHeight="1" x14ac:dyDescent="0.25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</row>
    <row r="794" spans="1:27" ht="15.75" customHeight="1" x14ac:dyDescent="0.25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</row>
    <row r="795" spans="1:27" ht="15.75" customHeight="1" x14ac:dyDescent="0.25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</row>
    <row r="796" spans="1:27" ht="15.75" customHeight="1" x14ac:dyDescent="0.25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</row>
    <row r="797" spans="1:27" ht="15.75" customHeight="1" x14ac:dyDescent="0.25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</row>
    <row r="798" spans="1:27" ht="15.75" customHeight="1" x14ac:dyDescent="0.25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</row>
    <row r="799" spans="1:27" ht="15.75" customHeight="1" x14ac:dyDescent="0.25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</row>
    <row r="800" spans="1:27" ht="15.75" customHeight="1" x14ac:dyDescent="0.25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</row>
    <row r="801" spans="1:27" ht="15.75" customHeight="1" x14ac:dyDescent="0.25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</row>
    <row r="802" spans="1:27" ht="15.75" customHeight="1" x14ac:dyDescent="0.25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</row>
    <row r="803" spans="1:27" ht="15.75" customHeight="1" x14ac:dyDescent="0.25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</row>
    <row r="804" spans="1:27" ht="15.75" customHeight="1" x14ac:dyDescent="0.25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</row>
    <row r="805" spans="1:27" ht="15.75" customHeight="1" x14ac:dyDescent="0.25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</row>
    <row r="806" spans="1:27" ht="15.75" customHeight="1" x14ac:dyDescent="0.25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</row>
    <row r="807" spans="1:27" ht="15.75" customHeight="1" x14ac:dyDescent="0.25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</row>
    <row r="808" spans="1:27" ht="15.75" customHeight="1" x14ac:dyDescent="0.25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</row>
    <row r="809" spans="1:27" ht="15.75" customHeight="1" x14ac:dyDescent="0.25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</row>
    <row r="810" spans="1:27" ht="15.75" customHeight="1" x14ac:dyDescent="0.25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</row>
    <row r="811" spans="1:27" ht="15.75" customHeight="1" x14ac:dyDescent="0.25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</row>
    <row r="812" spans="1:27" ht="15.75" customHeight="1" x14ac:dyDescent="0.25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</row>
    <row r="813" spans="1:27" ht="15.75" customHeight="1" x14ac:dyDescent="0.25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</row>
    <row r="814" spans="1:27" ht="15.75" customHeight="1" x14ac:dyDescent="0.25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</row>
    <row r="815" spans="1:27" ht="15.75" customHeight="1" x14ac:dyDescent="0.25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</row>
    <row r="816" spans="1:27" ht="15.75" customHeight="1" x14ac:dyDescent="0.25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</row>
    <row r="817" spans="1:27" ht="15.75" customHeight="1" x14ac:dyDescent="0.25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</row>
    <row r="818" spans="1:27" ht="15.75" customHeight="1" x14ac:dyDescent="0.25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</row>
    <row r="819" spans="1:27" ht="15.75" customHeight="1" x14ac:dyDescent="0.25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</row>
    <row r="820" spans="1:27" ht="15.75" customHeight="1" x14ac:dyDescent="0.25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</row>
    <row r="821" spans="1:27" ht="15.75" customHeight="1" x14ac:dyDescent="0.25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</row>
    <row r="822" spans="1:27" ht="15.75" customHeight="1" x14ac:dyDescent="0.25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</row>
    <row r="823" spans="1:27" ht="15.75" customHeight="1" x14ac:dyDescent="0.25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</row>
    <row r="824" spans="1:27" ht="15.75" customHeight="1" x14ac:dyDescent="0.25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</row>
    <row r="825" spans="1:27" ht="15.75" customHeight="1" x14ac:dyDescent="0.25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</row>
    <row r="826" spans="1:27" ht="15.75" customHeight="1" x14ac:dyDescent="0.25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</row>
    <row r="827" spans="1:27" ht="15.75" customHeight="1" x14ac:dyDescent="0.25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</row>
    <row r="828" spans="1:27" ht="15.75" customHeight="1" x14ac:dyDescent="0.25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</row>
    <row r="829" spans="1:27" ht="15.75" customHeight="1" x14ac:dyDescent="0.25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</row>
    <row r="830" spans="1:27" ht="15.75" customHeight="1" x14ac:dyDescent="0.25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</row>
    <row r="831" spans="1:27" ht="15.75" customHeight="1" x14ac:dyDescent="0.25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</row>
    <row r="832" spans="1:27" ht="15.75" customHeight="1" x14ac:dyDescent="0.25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</row>
    <row r="833" spans="1:27" ht="15.75" customHeight="1" x14ac:dyDescent="0.25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</row>
    <row r="834" spans="1:27" ht="15.75" customHeight="1" x14ac:dyDescent="0.25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</row>
    <row r="835" spans="1:27" ht="15.75" customHeight="1" x14ac:dyDescent="0.25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</row>
    <row r="836" spans="1:27" ht="15.75" customHeight="1" x14ac:dyDescent="0.25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</row>
    <row r="837" spans="1:27" ht="15.75" customHeight="1" x14ac:dyDescent="0.25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</row>
    <row r="838" spans="1:27" ht="15.75" customHeight="1" x14ac:dyDescent="0.25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</row>
    <row r="839" spans="1:27" ht="15.75" customHeight="1" x14ac:dyDescent="0.25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</row>
    <row r="840" spans="1:27" ht="15.75" customHeight="1" x14ac:dyDescent="0.25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</row>
    <row r="841" spans="1:27" ht="15.75" customHeight="1" x14ac:dyDescent="0.25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</row>
    <row r="842" spans="1:27" ht="15.75" customHeight="1" x14ac:dyDescent="0.25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</row>
    <row r="843" spans="1:27" ht="15.75" customHeight="1" x14ac:dyDescent="0.25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</row>
    <row r="844" spans="1:27" ht="15.75" customHeight="1" x14ac:dyDescent="0.25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</row>
    <row r="845" spans="1:27" ht="15.75" customHeight="1" x14ac:dyDescent="0.25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</row>
    <row r="846" spans="1:27" ht="15.75" customHeight="1" x14ac:dyDescent="0.25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</row>
    <row r="847" spans="1:27" ht="15.75" customHeight="1" x14ac:dyDescent="0.25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</row>
    <row r="848" spans="1:27" ht="15.75" customHeight="1" x14ac:dyDescent="0.25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</row>
    <row r="849" spans="1:27" ht="15.75" customHeight="1" x14ac:dyDescent="0.25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</row>
    <row r="850" spans="1:27" ht="15.75" customHeight="1" x14ac:dyDescent="0.25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</row>
    <row r="851" spans="1:27" ht="15.75" customHeight="1" x14ac:dyDescent="0.25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</row>
    <row r="852" spans="1:27" ht="15.75" customHeight="1" x14ac:dyDescent="0.25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</row>
    <row r="853" spans="1:27" ht="15.75" customHeight="1" x14ac:dyDescent="0.25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</row>
    <row r="854" spans="1:27" ht="15.75" customHeight="1" x14ac:dyDescent="0.25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</row>
    <row r="855" spans="1:27" ht="15.75" customHeight="1" x14ac:dyDescent="0.25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</row>
    <row r="856" spans="1:27" ht="15.75" customHeight="1" x14ac:dyDescent="0.25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</row>
    <row r="857" spans="1:27" ht="15.75" customHeight="1" x14ac:dyDescent="0.25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</row>
    <row r="858" spans="1:27" ht="15.75" customHeight="1" x14ac:dyDescent="0.25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</row>
    <row r="859" spans="1:27" ht="15.75" customHeight="1" x14ac:dyDescent="0.25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</row>
    <row r="860" spans="1:27" ht="15.75" customHeight="1" x14ac:dyDescent="0.25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</row>
    <row r="861" spans="1:27" ht="15.75" customHeight="1" x14ac:dyDescent="0.25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</row>
    <row r="862" spans="1:27" ht="15.75" customHeight="1" x14ac:dyDescent="0.25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</row>
    <row r="863" spans="1:27" ht="15.75" customHeight="1" x14ac:dyDescent="0.25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</row>
    <row r="864" spans="1:27" ht="15.75" customHeight="1" x14ac:dyDescent="0.25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</row>
    <row r="865" spans="1:27" ht="15.75" customHeight="1" x14ac:dyDescent="0.25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</row>
    <row r="866" spans="1:27" ht="15.75" customHeight="1" x14ac:dyDescent="0.25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</row>
    <row r="867" spans="1:27" ht="15.75" customHeight="1" x14ac:dyDescent="0.25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</row>
    <row r="868" spans="1:27" ht="15.75" customHeight="1" x14ac:dyDescent="0.25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</row>
    <row r="869" spans="1:27" ht="15.75" customHeight="1" x14ac:dyDescent="0.25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</row>
    <row r="870" spans="1:27" ht="15.75" customHeight="1" x14ac:dyDescent="0.25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</row>
    <row r="871" spans="1:27" ht="15.75" customHeight="1" x14ac:dyDescent="0.25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</row>
    <row r="872" spans="1:27" ht="15.75" customHeight="1" x14ac:dyDescent="0.25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</row>
    <row r="873" spans="1:27" ht="15.75" customHeight="1" x14ac:dyDescent="0.25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</row>
    <row r="874" spans="1:27" ht="15.75" customHeight="1" x14ac:dyDescent="0.25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</row>
    <row r="875" spans="1:27" ht="15.75" customHeight="1" x14ac:dyDescent="0.25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</row>
    <row r="876" spans="1:27" ht="15.75" customHeight="1" x14ac:dyDescent="0.25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</row>
    <row r="877" spans="1:27" ht="15.75" customHeight="1" x14ac:dyDescent="0.25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</row>
    <row r="878" spans="1:27" ht="15.75" customHeight="1" x14ac:dyDescent="0.25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</row>
    <row r="879" spans="1:27" ht="15.75" customHeight="1" x14ac:dyDescent="0.25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</row>
    <row r="880" spans="1:27" ht="15.75" customHeight="1" x14ac:dyDescent="0.25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</row>
    <row r="881" spans="1:27" ht="15.75" customHeight="1" x14ac:dyDescent="0.25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</row>
    <row r="882" spans="1:27" ht="15.75" customHeight="1" x14ac:dyDescent="0.25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</row>
    <row r="883" spans="1:27" ht="15.75" customHeight="1" x14ac:dyDescent="0.25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</row>
    <row r="884" spans="1:27" ht="15.75" customHeight="1" x14ac:dyDescent="0.25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</row>
    <row r="885" spans="1:27" ht="15.75" customHeight="1" x14ac:dyDescent="0.25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</row>
    <row r="886" spans="1:27" ht="15.75" customHeight="1" x14ac:dyDescent="0.25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</row>
    <row r="887" spans="1:27" ht="15.75" customHeight="1" x14ac:dyDescent="0.25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</row>
    <row r="888" spans="1:27" ht="15.75" customHeight="1" x14ac:dyDescent="0.25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</row>
    <row r="889" spans="1:27" ht="15.75" customHeight="1" x14ac:dyDescent="0.25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</row>
    <row r="890" spans="1:27" ht="15.75" customHeight="1" x14ac:dyDescent="0.25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</row>
    <row r="891" spans="1:27" ht="15.75" customHeight="1" x14ac:dyDescent="0.25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</row>
    <row r="892" spans="1:27" ht="15.75" customHeight="1" x14ac:dyDescent="0.25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</row>
    <row r="893" spans="1:27" ht="15.75" customHeight="1" x14ac:dyDescent="0.25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</row>
    <row r="894" spans="1:27" ht="15.75" customHeight="1" x14ac:dyDescent="0.25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</row>
    <row r="895" spans="1:27" ht="15.75" customHeight="1" x14ac:dyDescent="0.25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</row>
    <row r="896" spans="1:27" ht="15.75" customHeight="1" x14ac:dyDescent="0.25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</row>
    <row r="897" spans="1:27" ht="15.75" customHeight="1" x14ac:dyDescent="0.25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</row>
    <row r="898" spans="1:27" ht="15.75" customHeight="1" x14ac:dyDescent="0.25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</row>
    <row r="899" spans="1:27" ht="15.75" customHeight="1" x14ac:dyDescent="0.25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</row>
    <row r="900" spans="1:27" ht="15.75" customHeight="1" x14ac:dyDescent="0.25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</row>
    <row r="901" spans="1:27" ht="15.75" customHeight="1" x14ac:dyDescent="0.25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</row>
    <row r="902" spans="1:27" ht="15.75" customHeight="1" x14ac:dyDescent="0.25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</row>
    <row r="903" spans="1:27" ht="15.75" customHeight="1" x14ac:dyDescent="0.25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</row>
    <row r="904" spans="1:27" ht="15.75" customHeight="1" x14ac:dyDescent="0.25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</row>
    <row r="905" spans="1:27" ht="15.75" customHeight="1" x14ac:dyDescent="0.25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</row>
    <row r="906" spans="1:27" ht="15.75" customHeight="1" x14ac:dyDescent="0.25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</row>
    <row r="907" spans="1:27" ht="15.75" customHeight="1" x14ac:dyDescent="0.25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</row>
    <row r="908" spans="1:27" ht="15.75" customHeight="1" x14ac:dyDescent="0.25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</row>
    <row r="909" spans="1:27" ht="15.75" customHeight="1" x14ac:dyDescent="0.25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</row>
    <row r="910" spans="1:27" ht="15.75" customHeight="1" x14ac:dyDescent="0.25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</row>
    <row r="911" spans="1:27" ht="15.75" customHeight="1" x14ac:dyDescent="0.25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</row>
    <row r="912" spans="1:27" ht="15.75" customHeight="1" x14ac:dyDescent="0.25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</row>
    <row r="913" spans="1:27" ht="15.75" customHeight="1" x14ac:dyDescent="0.25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</row>
    <row r="914" spans="1:27" ht="15.75" customHeight="1" x14ac:dyDescent="0.25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</row>
    <row r="915" spans="1:27" ht="15.75" customHeight="1" x14ac:dyDescent="0.25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</row>
    <row r="916" spans="1:27" ht="15.75" customHeight="1" x14ac:dyDescent="0.25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</row>
    <row r="917" spans="1:27" ht="15.75" customHeight="1" x14ac:dyDescent="0.25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</row>
    <row r="918" spans="1:27" ht="15.75" customHeight="1" x14ac:dyDescent="0.25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</row>
    <row r="919" spans="1:27" ht="15.75" customHeight="1" x14ac:dyDescent="0.25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</row>
    <row r="920" spans="1:27" ht="15.75" customHeight="1" x14ac:dyDescent="0.25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</row>
    <row r="921" spans="1:27" ht="15.75" customHeight="1" x14ac:dyDescent="0.25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</row>
    <row r="922" spans="1:27" ht="15.75" customHeight="1" x14ac:dyDescent="0.25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</row>
    <row r="923" spans="1:27" ht="15.75" customHeight="1" x14ac:dyDescent="0.25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</row>
    <row r="924" spans="1:27" ht="15.75" customHeight="1" x14ac:dyDescent="0.25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</row>
    <row r="925" spans="1:27" ht="15.75" customHeight="1" x14ac:dyDescent="0.25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</row>
    <row r="926" spans="1:27" ht="15.75" customHeight="1" x14ac:dyDescent="0.25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</row>
    <row r="927" spans="1:27" ht="15.75" customHeight="1" x14ac:dyDescent="0.25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</row>
    <row r="928" spans="1:27" ht="15.75" customHeight="1" x14ac:dyDescent="0.25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</row>
    <row r="929" spans="1:27" ht="15.75" customHeight="1" x14ac:dyDescent="0.25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</row>
    <row r="930" spans="1:27" ht="15.75" customHeight="1" x14ac:dyDescent="0.25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</row>
    <row r="931" spans="1:27" ht="15.75" customHeight="1" x14ac:dyDescent="0.25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</row>
    <row r="932" spans="1:27" ht="15.75" customHeight="1" x14ac:dyDescent="0.25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</row>
    <row r="933" spans="1:27" ht="15.75" customHeight="1" x14ac:dyDescent="0.25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</row>
    <row r="934" spans="1:27" ht="15.75" customHeight="1" x14ac:dyDescent="0.25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</row>
    <row r="935" spans="1:27" ht="15.75" customHeight="1" x14ac:dyDescent="0.25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</row>
    <row r="936" spans="1:27" ht="15.75" customHeight="1" x14ac:dyDescent="0.25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</row>
    <row r="937" spans="1:27" ht="15.75" customHeight="1" x14ac:dyDescent="0.25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</row>
    <row r="938" spans="1:27" ht="15.75" customHeight="1" x14ac:dyDescent="0.25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</row>
    <row r="939" spans="1:27" ht="15.75" customHeight="1" x14ac:dyDescent="0.25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</row>
    <row r="940" spans="1:27" ht="15.75" customHeight="1" x14ac:dyDescent="0.25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</row>
    <row r="941" spans="1:27" ht="15.75" customHeight="1" x14ac:dyDescent="0.25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</row>
    <row r="942" spans="1:27" ht="15.75" customHeight="1" x14ac:dyDescent="0.25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</row>
    <row r="943" spans="1:27" ht="15.75" customHeight="1" x14ac:dyDescent="0.25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</row>
    <row r="944" spans="1:27" ht="15.75" customHeight="1" x14ac:dyDescent="0.25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</row>
    <row r="945" spans="1:27" ht="15.75" customHeight="1" x14ac:dyDescent="0.25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</row>
    <row r="946" spans="1:27" ht="15.75" customHeight="1" x14ac:dyDescent="0.25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</row>
    <row r="947" spans="1:27" ht="15.75" customHeight="1" x14ac:dyDescent="0.25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</row>
    <row r="948" spans="1:27" ht="15.75" customHeight="1" x14ac:dyDescent="0.25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</row>
    <row r="949" spans="1:27" ht="15.75" customHeight="1" x14ac:dyDescent="0.25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</row>
    <row r="950" spans="1:27" ht="15.75" customHeight="1" x14ac:dyDescent="0.25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</row>
    <row r="951" spans="1:27" ht="15.75" customHeight="1" x14ac:dyDescent="0.25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</row>
    <row r="952" spans="1:27" ht="15.75" customHeight="1" x14ac:dyDescent="0.25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</row>
    <row r="953" spans="1:27" ht="15.75" customHeight="1" x14ac:dyDescent="0.25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</row>
    <row r="954" spans="1:27" ht="15.75" customHeight="1" x14ac:dyDescent="0.25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</row>
    <row r="955" spans="1:27" ht="15.75" customHeight="1" x14ac:dyDescent="0.25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</row>
    <row r="956" spans="1:27" ht="15.75" customHeight="1" x14ac:dyDescent="0.25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</row>
    <row r="957" spans="1:27" ht="15.75" customHeight="1" x14ac:dyDescent="0.25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</row>
    <row r="958" spans="1:27" ht="15.75" customHeight="1" x14ac:dyDescent="0.25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</row>
    <row r="959" spans="1:27" ht="15.75" customHeight="1" x14ac:dyDescent="0.25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</row>
    <row r="960" spans="1:27" ht="15.75" customHeight="1" x14ac:dyDescent="0.25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</row>
    <row r="961" spans="1:27" ht="15.75" customHeight="1" x14ac:dyDescent="0.25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</row>
    <row r="962" spans="1:27" ht="15.75" customHeight="1" x14ac:dyDescent="0.25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</row>
    <row r="963" spans="1:27" ht="15.75" customHeight="1" x14ac:dyDescent="0.25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</row>
    <row r="964" spans="1:27" ht="15.75" customHeight="1" x14ac:dyDescent="0.25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</row>
    <row r="965" spans="1:27" ht="15.75" customHeight="1" x14ac:dyDescent="0.25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</row>
    <row r="966" spans="1:27" ht="15.75" customHeight="1" x14ac:dyDescent="0.25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</row>
    <row r="967" spans="1:27" ht="15.75" customHeight="1" x14ac:dyDescent="0.25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</row>
    <row r="968" spans="1:27" ht="15.75" customHeight="1" x14ac:dyDescent="0.25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</row>
    <row r="969" spans="1:27" ht="15.75" customHeight="1" x14ac:dyDescent="0.25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</row>
    <row r="970" spans="1:27" ht="15.75" customHeight="1" x14ac:dyDescent="0.25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</row>
    <row r="971" spans="1:27" ht="15.75" customHeight="1" x14ac:dyDescent="0.25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</row>
    <row r="972" spans="1:27" ht="15.75" customHeight="1" x14ac:dyDescent="0.25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</row>
    <row r="973" spans="1:27" ht="15.75" customHeight="1" x14ac:dyDescent="0.25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</row>
    <row r="974" spans="1:27" ht="15.75" customHeight="1" x14ac:dyDescent="0.25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</row>
    <row r="975" spans="1:27" ht="15.75" customHeight="1" x14ac:dyDescent="0.25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</row>
    <row r="976" spans="1:27" ht="15.75" customHeight="1" x14ac:dyDescent="0.25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</row>
    <row r="977" spans="1:27" ht="15.75" customHeight="1" x14ac:dyDescent="0.25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</row>
    <row r="978" spans="1:27" ht="15.75" customHeight="1" x14ac:dyDescent="0.25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</row>
    <row r="979" spans="1:27" ht="15.75" customHeight="1" x14ac:dyDescent="0.25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</row>
    <row r="980" spans="1:27" ht="15.75" customHeight="1" x14ac:dyDescent="0.25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</row>
    <row r="981" spans="1:27" ht="15.75" customHeight="1" x14ac:dyDescent="0.25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</row>
    <row r="982" spans="1:27" ht="15.75" customHeight="1" x14ac:dyDescent="0.25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</row>
    <row r="983" spans="1:27" ht="15.75" customHeight="1" x14ac:dyDescent="0.25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</row>
    <row r="984" spans="1:27" ht="15.75" customHeight="1" x14ac:dyDescent="0.25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</row>
    <row r="985" spans="1:27" ht="15.75" customHeight="1" x14ac:dyDescent="0.25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</row>
    <row r="986" spans="1:27" ht="15.75" customHeight="1" x14ac:dyDescent="0.25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</row>
    <row r="987" spans="1:27" ht="15.75" customHeight="1" x14ac:dyDescent="0.25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</row>
    <row r="988" spans="1:27" ht="15.75" customHeight="1" x14ac:dyDescent="0.25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</row>
    <row r="989" spans="1:27" ht="15.75" customHeight="1" x14ac:dyDescent="0.25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</row>
    <row r="990" spans="1:27" ht="15.75" customHeight="1" x14ac:dyDescent="0.25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</row>
    <row r="991" spans="1:27" ht="15.75" customHeight="1" x14ac:dyDescent="0.25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</row>
    <row r="992" spans="1:27" ht="15.75" customHeight="1" x14ac:dyDescent="0.25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</row>
    <row r="993" spans="1:27" ht="15.75" customHeight="1" x14ac:dyDescent="0.25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</row>
    <row r="994" spans="1:27" ht="15.75" customHeight="1" x14ac:dyDescent="0.25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</row>
    <row r="995" spans="1:27" ht="15.75" customHeight="1" x14ac:dyDescent="0.25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</row>
    <row r="996" spans="1:27" ht="15.75" customHeight="1" x14ac:dyDescent="0.25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</row>
    <row r="997" spans="1:27" ht="15.75" customHeight="1" x14ac:dyDescent="0.25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</row>
    <row r="998" spans="1:27" ht="15.75" customHeight="1" x14ac:dyDescent="0.25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</row>
    <row r="999" spans="1:27" ht="15.75" customHeight="1" x14ac:dyDescent="0.25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</row>
    <row r="1000" spans="1:27" ht="15.75" customHeight="1" x14ac:dyDescent="0.25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</row>
    <row r="1001" spans="1:27" ht="15.75" customHeight="1" x14ac:dyDescent="0.25">
      <c r="A1001" s="145"/>
      <c r="B1001" s="145"/>
      <c r="C1001" s="145"/>
      <c r="D1001" s="145"/>
      <c r="E1001" s="145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</row>
    <row r="1002" spans="1:27" ht="15.75" customHeight="1" x14ac:dyDescent="0.25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</row>
    <row r="1003" spans="1:27" ht="15.75" customHeight="1" x14ac:dyDescent="0.25">
      <c r="A1003" s="145"/>
      <c r="B1003" s="145"/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</row>
    <row r="1004" spans="1:27" ht="15.75" customHeight="1" x14ac:dyDescent="0.25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</row>
    <row r="1005" spans="1:27" ht="15.75" customHeight="1" x14ac:dyDescent="0.25">
      <c r="A1005" s="145"/>
      <c r="B1005" s="145"/>
      <c r="C1005" s="145"/>
      <c r="D1005" s="145"/>
      <c r="E1005" s="145"/>
      <c r="F1005" s="145"/>
      <c r="G1005" s="145"/>
      <c r="H1005" s="145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</row>
    <row r="1006" spans="1:27" ht="15.75" customHeight="1" x14ac:dyDescent="0.25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</row>
    <row r="1007" spans="1:27" ht="15.75" customHeight="1" x14ac:dyDescent="0.25">
      <c r="A1007" s="145"/>
      <c r="B1007" s="145"/>
      <c r="C1007" s="145"/>
      <c r="D1007" s="145"/>
      <c r="E1007" s="145"/>
      <c r="F1007" s="145"/>
      <c r="G1007" s="145"/>
      <c r="H1007" s="145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</row>
  </sheetData>
  <mergeCells count="47"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804"/>
  <sheetViews>
    <sheetView showGridLines="0" view="pageBreakPreview" zoomScale="55" zoomScaleNormal="55" zoomScaleSheetLayoutView="55" workbookViewId="0">
      <selection activeCell="E24" sqref="E24:I24"/>
    </sheetView>
  </sheetViews>
  <sheetFormatPr defaultColWidth="12.59765625" defaultRowHeight="15" customHeight="1" x14ac:dyDescent="0.25"/>
  <cols>
    <col min="1" max="1" width="2.09765625" style="221" customWidth="1"/>
    <col min="2" max="2" width="10.19921875" style="221" customWidth="1"/>
    <col min="3" max="3" width="24.3984375" style="221" customWidth="1"/>
    <col min="4" max="7" width="25.19921875" style="221" customWidth="1"/>
    <col min="8" max="8" width="32.59765625" style="221" customWidth="1"/>
    <col min="9" max="9" width="21.69921875" style="221" customWidth="1"/>
    <col min="10" max="28" width="8.19921875" style="221" customWidth="1"/>
    <col min="29" max="29" width="13" style="221" customWidth="1"/>
    <col min="30" max="16384" width="12.59765625" style="221"/>
  </cols>
  <sheetData>
    <row r="1" spans="1:30" ht="13.8" x14ac:dyDescent="0.25">
      <c r="A1" s="219"/>
      <c r="B1" s="219"/>
      <c r="C1" s="220"/>
      <c r="D1" s="220"/>
      <c r="E1" s="220"/>
      <c r="F1" s="220"/>
      <c r="G1" s="220"/>
      <c r="H1" s="220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30" ht="18.75" customHeight="1" x14ac:dyDescent="0.25">
      <c r="A2" s="222"/>
      <c r="B2" s="474" t="s">
        <v>925</v>
      </c>
      <c r="C2" s="475"/>
      <c r="D2" s="475"/>
      <c r="E2" s="475"/>
      <c r="F2" s="476"/>
      <c r="G2" s="476"/>
      <c r="H2" s="476"/>
      <c r="I2" s="477"/>
      <c r="J2" s="222"/>
      <c r="K2" s="223"/>
      <c r="L2" s="223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4"/>
      <c r="AA2" s="224"/>
      <c r="AB2" s="224"/>
      <c r="AC2" s="224"/>
      <c r="AD2" s="219"/>
    </row>
    <row r="3" spans="1:30" ht="18.75" customHeight="1" x14ac:dyDescent="0.25">
      <c r="A3" s="222"/>
      <c r="B3" s="478"/>
      <c r="C3" s="479"/>
      <c r="D3" s="479"/>
      <c r="E3" s="479"/>
      <c r="F3" s="480"/>
      <c r="G3" s="480"/>
      <c r="H3" s="480"/>
      <c r="I3" s="481"/>
      <c r="J3" s="222"/>
      <c r="K3" s="223"/>
      <c r="L3" s="223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4"/>
      <c r="AA3" s="224"/>
      <c r="AB3" s="224"/>
      <c r="AC3" s="224"/>
      <c r="AD3" s="219"/>
    </row>
    <row r="4" spans="1:30" ht="18.75" customHeight="1" x14ac:dyDescent="0.25">
      <c r="A4" s="222"/>
      <c r="B4" s="478"/>
      <c r="C4" s="479"/>
      <c r="D4" s="479"/>
      <c r="E4" s="479"/>
      <c r="F4" s="480"/>
      <c r="G4" s="480"/>
      <c r="H4" s="480"/>
      <c r="I4" s="481"/>
      <c r="J4" s="222"/>
      <c r="K4" s="223"/>
      <c r="L4" s="223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4"/>
      <c r="AA4" s="224"/>
      <c r="AB4" s="224"/>
      <c r="AC4" s="224"/>
      <c r="AD4" s="219"/>
    </row>
    <row r="5" spans="1:30" ht="18.75" customHeight="1" x14ac:dyDescent="0.25">
      <c r="A5" s="222"/>
      <c r="B5" s="478"/>
      <c r="C5" s="479"/>
      <c r="D5" s="479"/>
      <c r="E5" s="479"/>
      <c r="F5" s="480"/>
      <c r="G5" s="480"/>
      <c r="H5" s="480"/>
      <c r="I5" s="481"/>
      <c r="J5" s="222"/>
      <c r="K5" s="223"/>
      <c r="L5" s="223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4"/>
      <c r="AA5" s="224"/>
      <c r="AB5" s="224"/>
      <c r="AC5" s="224"/>
      <c r="AD5" s="219"/>
    </row>
    <row r="6" spans="1:30" ht="18.75" customHeight="1" x14ac:dyDescent="0.25">
      <c r="A6" s="222"/>
      <c r="B6" s="482"/>
      <c r="C6" s="483"/>
      <c r="D6" s="483"/>
      <c r="E6" s="483"/>
      <c r="F6" s="483"/>
      <c r="G6" s="483"/>
      <c r="H6" s="483"/>
      <c r="I6" s="484"/>
      <c r="J6" s="222"/>
      <c r="K6" s="223"/>
      <c r="L6" s="223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4"/>
      <c r="AA6" s="224"/>
      <c r="AB6" s="224"/>
      <c r="AC6" s="224"/>
      <c r="AD6" s="219"/>
    </row>
    <row r="7" spans="1:30" ht="15" customHeight="1" x14ac:dyDescent="0.25">
      <c r="A7" s="225"/>
      <c r="B7" s="226"/>
      <c r="C7" s="226"/>
      <c r="D7" s="226"/>
      <c r="E7" s="226"/>
      <c r="F7" s="226"/>
      <c r="G7" s="226"/>
      <c r="H7" s="226"/>
      <c r="I7" s="226"/>
      <c r="J7" s="225"/>
      <c r="K7" s="227"/>
      <c r="L7" s="227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19"/>
    </row>
    <row r="8" spans="1:30" ht="15" customHeight="1" x14ac:dyDescent="0.25">
      <c r="A8" s="225"/>
      <c r="B8" s="228" t="str">
        <f>'DADOS GERAIS'!B8</f>
        <v>Secretaria de Atenção Especializada à Saúde</v>
      </c>
      <c r="C8" s="229"/>
      <c r="D8" s="229"/>
      <c r="E8" s="229"/>
      <c r="F8" s="230"/>
      <c r="G8" s="6" t="str">
        <f>RESUMO!D8</f>
        <v>BDI Geral:</v>
      </c>
      <c r="H8" s="229" t="s">
        <v>17</v>
      </c>
      <c r="I8" s="250" t="s">
        <v>10</v>
      </c>
      <c r="J8" s="225"/>
      <c r="K8" s="227"/>
      <c r="L8" s="227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19"/>
    </row>
    <row r="9" spans="1:30" ht="15" customHeight="1" x14ac:dyDescent="0.25">
      <c r="A9" s="225"/>
      <c r="B9" s="231" t="str">
        <f>'DADOS GERAIS'!B9</f>
        <v>Unidade Básica de Saúde Porte 1 - Área Construída: 389,78m²</v>
      </c>
      <c r="C9" s="232"/>
      <c r="D9" s="232"/>
      <c r="E9" s="232"/>
      <c r="F9" s="233"/>
      <c r="G9" s="108">
        <f>RESUMO!D9</f>
        <v>0.24880703423586414</v>
      </c>
      <c r="H9" s="234">
        <f>'ENCARGOS SOCIAIS'!F56</f>
        <v>0.71460000000000001</v>
      </c>
      <c r="I9" s="235" t="str">
        <f>'DADOS GERAIS'!C22</f>
        <v>19/12/2024</v>
      </c>
      <c r="J9" s="225"/>
      <c r="K9" s="227"/>
      <c r="L9" s="227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19"/>
    </row>
    <row r="10" spans="1:30" ht="15" customHeight="1" x14ac:dyDescent="0.25">
      <c r="A10" s="225"/>
      <c r="B10" s="236"/>
      <c r="C10" s="224"/>
      <c r="D10" s="224"/>
      <c r="E10" s="224"/>
      <c r="F10" s="233"/>
      <c r="G10" s="9"/>
      <c r="H10" s="219"/>
      <c r="I10" s="251"/>
      <c r="J10" s="225"/>
      <c r="K10" s="227"/>
      <c r="L10" s="227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19"/>
    </row>
    <row r="11" spans="1:30" ht="15" customHeight="1" x14ac:dyDescent="0.25">
      <c r="A11" s="225"/>
      <c r="B11" s="237" t="str">
        <f>'DADOS GERAIS'!B11</f>
        <v>Bancos:</v>
      </c>
      <c r="C11" s="238"/>
      <c r="D11" s="238"/>
      <c r="E11" s="238"/>
      <c r="F11" s="233"/>
      <c r="G11" s="9" t="str">
        <f>RESUMO!D11</f>
        <v>BDI Equipamentos:</v>
      </c>
      <c r="H11" s="238" t="s">
        <v>19</v>
      </c>
      <c r="I11" s="251" t="s">
        <v>11</v>
      </c>
      <c r="J11" s="225"/>
      <c r="K11" s="227"/>
      <c r="L11" s="227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19"/>
    </row>
    <row r="12" spans="1:30" ht="15" customHeight="1" x14ac:dyDescent="0.25">
      <c r="A12" s="225"/>
      <c r="B12" s="485" t="str">
        <f>'DADOS GERAIS'!B12</f>
        <v>SINAPI (08/2024) - CPOS/CDHU (09/2024) - SBC (03/2024) - ORSE (09/2024) - EMOP (03/2024)</v>
      </c>
      <c r="C12" s="486"/>
      <c r="D12" s="486"/>
      <c r="E12" s="486"/>
      <c r="F12" s="486"/>
      <c r="G12" s="108">
        <f>RESUMO!D12</f>
        <v>0.15599027382875574</v>
      </c>
      <c r="H12" s="234">
        <f>'ENCARGOS SOCIAIS'!E56</f>
        <v>1.1553798000000002</v>
      </c>
      <c r="I12" s="239" t="str">
        <f>'DADOS GERAIS'!C23</f>
        <v>02</v>
      </c>
      <c r="J12" s="225"/>
      <c r="K12" s="227"/>
      <c r="L12" s="227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19"/>
    </row>
    <row r="13" spans="1:30" ht="15" customHeight="1" x14ac:dyDescent="0.25">
      <c r="A13" s="225"/>
      <c r="B13" s="487"/>
      <c r="C13" s="488"/>
      <c r="D13" s="488"/>
      <c r="E13" s="488"/>
      <c r="F13" s="488"/>
      <c r="G13" s="14"/>
      <c r="H13" s="240"/>
      <c r="I13" s="241"/>
      <c r="J13" s="225"/>
      <c r="K13" s="227"/>
      <c r="L13" s="227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19"/>
    </row>
    <row r="14" spans="1:30" ht="8.25" customHeight="1" x14ac:dyDescent="0.25">
      <c r="A14" s="219"/>
      <c r="B14" s="242"/>
      <c r="C14" s="220"/>
      <c r="D14" s="220"/>
      <c r="E14" s="220"/>
      <c r="F14" s="220"/>
      <c r="G14" s="220"/>
      <c r="H14" s="220"/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</row>
    <row r="15" spans="1:30" ht="26.4" x14ac:dyDescent="0.25">
      <c r="A15" s="219"/>
      <c r="B15" s="245" t="s">
        <v>20</v>
      </c>
      <c r="C15" s="246" t="s">
        <v>926</v>
      </c>
      <c r="D15" s="246" t="s">
        <v>927</v>
      </c>
      <c r="E15" s="489" t="s">
        <v>928</v>
      </c>
      <c r="F15" s="490"/>
      <c r="G15" s="490"/>
      <c r="H15" s="490"/>
      <c r="I15" s="491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8"/>
    </row>
    <row r="16" spans="1:30" ht="54" customHeight="1" x14ac:dyDescent="0.25">
      <c r="A16" s="219"/>
      <c r="B16" s="249">
        <v>1</v>
      </c>
      <c r="C16" s="275" t="s">
        <v>808</v>
      </c>
      <c r="D16" s="275" t="s">
        <v>1275</v>
      </c>
      <c r="E16" s="471" t="s">
        <v>929</v>
      </c>
      <c r="F16" s="472"/>
      <c r="G16" s="472"/>
      <c r="H16" s="472"/>
      <c r="I16" s="473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</row>
    <row r="17" spans="1:29" ht="54" customHeight="1" x14ac:dyDescent="0.25">
      <c r="A17" s="219"/>
      <c r="B17" s="249">
        <v>2</v>
      </c>
      <c r="C17" s="275" t="s">
        <v>958</v>
      </c>
      <c r="D17" s="275" t="s">
        <v>1276</v>
      </c>
      <c r="E17" s="471" t="s">
        <v>931</v>
      </c>
      <c r="F17" s="472"/>
      <c r="G17" s="472"/>
      <c r="H17" s="472"/>
      <c r="I17" s="473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</row>
    <row r="18" spans="1:29" ht="54" customHeight="1" x14ac:dyDescent="0.25">
      <c r="A18" s="219"/>
      <c r="B18" s="249">
        <v>3</v>
      </c>
      <c r="C18" s="275" t="s">
        <v>1246</v>
      </c>
      <c r="D18" s="275" t="s">
        <v>1277</v>
      </c>
      <c r="E18" s="471" t="s">
        <v>931</v>
      </c>
      <c r="F18" s="472"/>
      <c r="G18" s="472"/>
      <c r="H18" s="472"/>
      <c r="I18" s="473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</row>
    <row r="19" spans="1:29" ht="54" customHeight="1" x14ac:dyDescent="0.25">
      <c r="A19" s="219"/>
      <c r="B19" s="249">
        <v>4</v>
      </c>
      <c r="C19" s="275" t="s">
        <v>959</v>
      </c>
      <c r="D19" s="275" t="s">
        <v>1278</v>
      </c>
      <c r="E19" s="471" t="s">
        <v>930</v>
      </c>
      <c r="F19" s="472"/>
      <c r="G19" s="472"/>
      <c r="H19" s="472"/>
      <c r="I19" s="473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</row>
    <row r="20" spans="1:29" ht="54" customHeight="1" x14ac:dyDescent="0.25">
      <c r="A20" s="219"/>
      <c r="B20" s="249">
        <v>5</v>
      </c>
      <c r="C20" s="275" t="s">
        <v>962</v>
      </c>
      <c r="D20" s="275" t="s">
        <v>1279</v>
      </c>
      <c r="E20" s="471" t="s">
        <v>930</v>
      </c>
      <c r="F20" s="472"/>
      <c r="G20" s="472"/>
      <c r="H20" s="472"/>
      <c r="I20" s="473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</row>
    <row r="21" spans="1:29" ht="54" customHeight="1" x14ac:dyDescent="0.25">
      <c r="A21" s="219"/>
      <c r="B21" s="249">
        <v>6</v>
      </c>
      <c r="C21" s="275" t="s">
        <v>513</v>
      </c>
      <c r="D21" s="275" t="s">
        <v>1280</v>
      </c>
      <c r="E21" s="471" t="s">
        <v>929</v>
      </c>
      <c r="F21" s="472"/>
      <c r="G21" s="472"/>
      <c r="H21" s="472"/>
      <c r="I21" s="473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</row>
    <row r="22" spans="1:29" ht="54" customHeight="1" x14ac:dyDescent="0.25">
      <c r="A22" s="219"/>
      <c r="B22" s="249">
        <v>7</v>
      </c>
      <c r="C22" s="275" t="s">
        <v>964</v>
      </c>
      <c r="D22" s="275" t="s">
        <v>1281</v>
      </c>
      <c r="E22" s="471" t="s">
        <v>935</v>
      </c>
      <c r="F22" s="472"/>
      <c r="G22" s="472"/>
      <c r="H22" s="472"/>
      <c r="I22" s="47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</row>
    <row r="23" spans="1:29" ht="54" customHeight="1" x14ac:dyDescent="0.25">
      <c r="A23" s="219"/>
      <c r="B23" s="249">
        <v>8</v>
      </c>
      <c r="C23" s="275" t="s">
        <v>307</v>
      </c>
      <c r="D23" s="276" t="s">
        <v>1282</v>
      </c>
      <c r="E23" s="471" t="s">
        <v>934</v>
      </c>
      <c r="F23" s="472"/>
      <c r="G23" s="472"/>
      <c r="H23" s="472"/>
      <c r="I23" s="473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</row>
    <row r="24" spans="1:29" ht="54" customHeight="1" x14ac:dyDescent="0.25">
      <c r="A24" s="219"/>
      <c r="B24" s="249">
        <v>9</v>
      </c>
      <c r="C24" s="275" t="s">
        <v>1251</v>
      </c>
      <c r="D24" s="275" t="s">
        <v>1283</v>
      </c>
      <c r="E24" s="471" t="s">
        <v>1272</v>
      </c>
      <c r="F24" s="472"/>
      <c r="G24" s="472"/>
      <c r="H24" s="472"/>
      <c r="I24" s="473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</row>
    <row r="25" spans="1:29" ht="54" customHeight="1" x14ac:dyDescent="0.25">
      <c r="A25" s="219"/>
      <c r="B25" s="249">
        <v>10</v>
      </c>
      <c r="C25" s="275" t="s">
        <v>80</v>
      </c>
      <c r="D25" s="275" t="s">
        <v>1284</v>
      </c>
      <c r="E25" s="471" t="s">
        <v>930</v>
      </c>
      <c r="F25" s="472"/>
      <c r="G25" s="472"/>
      <c r="H25" s="472"/>
      <c r="I25" s="473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</row>
    <row r="26" spans="1:29" ht="54" customHeight="1" x14ac:dyDescent="0.25">
      <c r="A26" s="219"/>
      <c r="B26" s="249">
        <v>11</v>
      </c>
      <c r="C26" s="275" t="s">
        <v>977</v>
      </c>
      <c r="D26" s="275" t="s">
        <v>1285</v>
      </c>
      <c r="E26" s="471" t="s">
        <v>954</v>
      </c>
      <c r="F26" s="472"/>
      <c r="G26" s="472"/>
      <c r="H26" s="472"/>
      <c r="I26" s="47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</row>
    <row r="27" spans="1:29" ht="54" customHeight="1" x14ac:dyDescent="0.25">
      <c r="A27" s="219"/>
      <c r="B27" s="249">
        <v>12</v>
      </c>
      <c r="C27" s="275" t="s">
        <v>981</v>
      </c>
      <c r="D27" s="275" t="s">
        <v>1286</v>
      </c>
      <c r="E27" s="471" t="s">
        <v>954</v>
      </c>
      <c r="F27" s="472"/>
      <c r="G27" s="472"/>
      <c r="H27" s="472"/>
      <c r="I27" s="473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</row>
    <row r="28" spans="1:29" ht="54" customHeight="1" x14ac:dyDescent="0.25">
      <c r="A28" s="219"/>
      <c r="B28" s="249">
        <v>13</v>
      </c>
      <c r="C28" s="275" t="s">
        <v>985</v>
      </c>
      <c r="D28" s="277" t="s">
        <v>1287</v>
      </c>
      <c r="E28" s="471" t="s">
        <v>1288</v>
      </c>
      <c r="F28" s="472"/>
      <c r="G28" s="472"/>
      <c r="H28" s="472"/>
      <c r="I28" s="47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</row>
    <row r="29" spans="1:29" ht="54" customHeight="1" x14ac:dyDescent="0.25">
      <c r="A29" s="219"/>
      <c r="B29" s="249">
        <v>14</v>
      </c>
      <c r="C29" s="275" t="s">
        <v>517</v>
      </c>
      <c r="D29" s="277" t="s">
        <v>1289</v>
      </c>
      <c r="E29" s="471" t="s">
        <v>1288</v>
      </c>
      <c r="F29" s="472"/>
      <c r="G29" s="472"/>
      <c r="H29" s="472"/>
      <c r="I29" s="47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</row>
    <row r="30" spans="1:29" ht="54" customHeight="1" x14ac:dyDescent="0.25">
      <c r="A30" s="219"/>
      <c r="B30" s="249">
        <v>15</v>
      </c>
      <c r="C30" s="275" t="s">
        <v>518</v>
      </c>
      <c r="D30" s="277" t="s">
        <v>1290</v>
      </c>
      <c r="E30" s="471" t="s">
        <v>1288</v>
      </c>
      <c r="F30" s="472"/>
      <c r="G30" s="472"/>
      <c r="H30" s="472"/>
      <c r="I30" s="473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</row>
    <row r="31" spans="1:29" ht="54" customHeight="1" x14ac:dyDescent="0.25">
      <c r="A31" s="219"/>
      <c r="B31" s="249">
        <v>16</v>
      </c>
      <c r="C31" s="275" t="s">
        <v>820</v>
      </c>
      <c r="D31" s="274" t="s">
        <v>1291</v>
      </c>
      <c r="E31" s="471" t="s">
        <v>931</v>
      </c>
      <c r="F31" s="472"/>
      <c r="G31" s="472"/>
      <c r="H31" s="472"/>
      <c r="I31" s="473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</row>
    <row r="32" spans="1:29" ht="54" customHeight="1" x14ac:dyDescent="0.25">
      <c r="A32" s="219"/>
      <c r="B32" s="249">
        <v>17</v>
      </c>
      <c r="C32" s="275" t="s">
        <v>940</v>
      </c>
      <c r="D32" s="277" t="s">
        <v>1292</v>
      </c>
      <c r="E32" s="471" t="s">
        <v>956</v>
      </c>
      <c r="F32" s="472"/>
      <c r="G32" s="472"/>
      <c r="H32" s="472"/>
      <c r="I32" s="47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</row>
    <row r="33" spans="1:29" ht="54" customHeight="1" x14ac:dyDescent="0.25">
      <c r="A33" s="219"/>
      <c r="B33" s="249">
        <v>18</v>
      </c>
      <c r="C33" s="275" t="s">
        <v>989</v>
      </c>
      <c r="D33" s="277" t="s">
        <v>1292</v>
      </c>
      <c r="E33" s="471" t="s">
        <v>955</v>
      </c>
      <c r="F33" s="472"/>
      <c r="G33" s="472"/>
      <c r="H33" s="472"/>
      <c r="I33" s="473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</row>
    <row r="34" spans="1:29" ht="54" customHeight="1" x14ac:dyDescent="0.25">
      <c r="A34" s="219"/>
      <c r="B34" s="249">
        <v>19</v>
      </c>
      <c r="C34" s="275" t="s">
        <v>991</v>
      </c>
      <c r="D34" s="277" t="s">
        <v>1292</v>
      </c>
      <c r="E34" s="471" t="s">
        <v>957</v>
      </c>
      <c r="F34" s="472"/>
      <c r="G34" s="472"/>
      <c r="H34" s="472"/>
      <c r="I34" s="473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</row>
    <row r="35" spans="1:29" ht="54" customHeight="1" x14ac:dyDescent="0.25">
      <c r="A35" s="219"/>
      <c r="B35" s="249">
        <v>20</v>
      </c>
      <c r="C35" s="275" t="s">
        <v>995</v>
      </c>
      <c r="D35" s="274" t="s">
        <v>1293</v>
      </c>
      <c r="E35" s="471" t="s">
        <v>930</v>
      </c>
      <c r="F35" s="472"/>
      <c r="G35" s="472"/>
      <c r="H35" s="472"/>
      <c r="I35" s="47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</row>
    <row r="36" spans="1:29" ht="54" customHeight="1" x14ac:dyDescent="0.25">
      <c r="A36" s="219"/>
      <c r="B36" s="249">
        <v>21</v>
      </c>
      <c r="C36" s="275" t="s">
        <v>816</v>
      </c>
      <c r="D36" s="275" t="s">
        <v>1294</v>
      </c>
      <c r="E36" s="471" t="s">
        <v>930</v>
      </c>
      <c r="F36" s="472"/>
      <c r="G36" s="472"/>
      <c r="H36" s="472"/>
      <c r="I36" s="473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</row>
    <row r="37" spans="1:29" ht="54" customHeight="1" x14ac:dyDescent="0.25">
      <c r="A37" s="219"/>
      <c r="B37" s="249">
        <v>22</v>
      </c>
      <c r="C37" s="275" t="s">
        <v>1261</v>
      </c>
      <c r="D37" s="275" t="s">
        <v>1295</v>
      </c>
      <c r="E37" s="471" t="s">
        <v>929</v>
      </c>
      <c r="F37" s="472"/>
      <c r="G37" s="472"/>
      <c r="H37" s="472"/>
      <c r="I37" s="47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</row>
    <row r="38" spans="1:29" ht="54" customHeight="1" x14ac:dyDescent="0.25">
      <c r="A38" s="219"/>
      <c r="B38" s="249">
        <v>23</v>
      </c>
      <c r="C38" s="275" t="s">
        <v>833</v>
      </c>
      <c r="D38" s="277" t="s">
        <v>1296</v>
      </c>
      <c r="E38" s="471" t="s">
        <v>936</v>
      </c>
      <c r="F38" s="472"/>
      <c r="G38" s="472"/>
      <c r="H38" s="472"/>
      <c r="I38" s="473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</row>
    <row r="39" spans="1:29" ht="54" customHeight="1" x14ac:dyDescent="0.25">
      <c r="A39" s="219"/>
      <c r="B39" s="249">
        <v>24</v>
      </c>
      <c r="C39" s="275" t="s">
        <v>996</v>
      </c>
      <c r="D39" s="275" t="s">
        <v>1297</v>
      </c>
      <c r="E39" s="471" t="s">
        <v>929</v>
      </c>
      <c r="F39" s="472"/>
      <c r="G39" s="472"/>
      <c r="H39" s="472"/>
      <c r="I39" s="473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</row>
    <row r="40" spans="1:29" ht="54" customHeight="1" x14ac:dyDescent="0.25">
      <c r="A40" s="219"/>
      <c r="B40" s="249">
        <v>25</v>
      </c>
      <c r="C40" s="275" t="s">
        <v>998</v>
      </c>
      <c r="D40" s="275" t="s">
        <v>1298</v>
      </c>
      <c r="E40" s="471" t="s">
        <v>932</v>
      </c>
      <c r="F40" s="472"/>
      <c r="G40" s="472"/>
      <c r="H40" s="472"/>
      <c r="I40" s="473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</row>
    <row r="41" spans="1:29" ht="54" customHeight="1" x14ac:dyDescent="0.25">
      <c r="A41" s="219"/>
      <c r="B41" s="249">
        <v>26</v>
      </c>
      <c r="C41" s="275" t="s">
        <v>543</v>
      </c>
      <c r="D41" s="274" t="s">
        <v>1299</v>
      </c>
      <c r="E41" s="471" t="s">
        <v>931</v>
      </c>
      <c r="F41" s="472"/>
      <c r="G41" s="472"/>
      <c r="H41" s="472"/>
      <c r="I41" s="47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</row>
    <row r="42" spans="1:29" ht="54" customHeight="1" x14ac:dyDescent="0.25">
      <c r="A42" s="219"/>
      <c r="B42" s="249">
        <v>27</v>
      </c>
      <c r="C42" s="275" t="s">
        <v>545</v>
      </c>
      <c r="D42" s="274" t="s">
        <v>1300</v>
      </c>
      <c r="E42" s="471" t="s">
        <v>929</v>
      </c>
      <c r="F42" s="472"/>
      <c r="G42" s="472"/>
      <c r="H42" s="472"/>
      <c r="I42" s="473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</row>
    <row r="43" spans="1:29" ht="54" customHeight="1" x14ac:dyDescent="0.25">
      <c r="A43" s="219"/>
      <c r="B43" s="249">
        <v>28</v>
      </c>
      <c r="C43" s="275" t="s">
        <v>265</v>
      </c>
      <c r="D43" s="274" t="s">
        <v>1301</v>
      </c>
      <c r="E43" s="471" t="s">
        <v>931</v>
      </c>
      <c r="F43" s="472"/>
      <c r="G43" s="472"/>
      <c r="H43" s="472"/>
      <c r="I43" s="473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</row>
    <row r="44" spans="1:29" ht="54" customHeight="1" x14ac:dyDescent="0.25">
      <c r="A44" s="219"/>
      <c r="B44" s="249">
        <v>29</v>
      </c>
      <c r="C44" s="275" t="s">
        <v>548</v>
      </c>
      <c r="D44" s="275" t="s">
        <v>1302</v>
      </c>
      <c r="E44" s="471" t="s">
        <v>930</v>
      </c>
      <c r="F44" s="472"/>
      <c r="G44" s="472"/>
      <c r="H44" s="472"/>
      <c r="I44" s="473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</row>
    <row r="45" spans="1:29" ht="54" customHeight="1" x14ac:dyDescent="0.25">
      <c r="A45" s="219"/>
      <c r="B45" s="249">
        <v>30</v>
      </c>
      <c r="C45" s="275" t="s">
        <v>850</v>
      </c>
      <c r="D45" s="274" t="s">
        <v>1303</v>
      </c>
      <c r="E45" s="471" t="s">
        <v>930</v>
      </c>
      <c r="F45" s="472"/>
      <c r="G45" s="472"/>
      <c r="H45" s="472"/>
      <c r="I45" s="473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</row>
    <row r="46" spans="1:29" ht="54" customHeight="1" x14ac:dyDescent="0.25">
      <c r="A46" s="219"/>
      <c r="B46" s="249">
        <v>31</v>
      </c>
      <c r="C46" s="275" t="s">
        <v>851</v>
      </c>
      <c r="D46" s="275" t="s">
        <v>1304</v>
      </c>
      <c r="E46" s="471" t="s">
        <v>929</v>
      </c>
      <c r="F46" s="472"/>
      <c r="G46" s="472"/>
      <c r="H46" s="472"/>
      <c r="I46" s="473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</row>
    <row r="47" spans="1:29" ht="54" customHeight="1" x14ac:dyDescent="0.25">
      <c r="A47" s="219"/>
      <c r="B47" s="249">
        <v>32</v>
      </c>
      <c r="C47" s="275" t="s">
        <v>853</v>
      </c>
      <c r="D47" s="275" t="s">
        <v>1305</v>
      </c>
      <c r="E47" s="471" t="s">
        <v>930</v>
      </c>
      <c r="F47" s="472"/>
      <c r="G47" s="472"/>
      <c r="H47" s="472"/>
      <c r="I47" s="473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</row>
    <row r="48" spans="1:29" ht="54" customHeight="1" x14ac:dyDescent="0.25">
      <c r="A48" s="219"/>
      <c r="B48" s="249">
        <v>33</v>
      </c>
      <c r="C48" s="275" t="s">
        <v>143</v>
      </c>
      <c r="D48" s="274" t="s">
        <v>1306</v>
      </c>
      <c r="E48" s="471" t="s">
        <v>931</v>
      </c>
      <c r="F48" s="472"/>
      <c r="G48" s="472"/>
      <c r="H48" s="472"/>
      <c r="I48" s="473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</row>
    <row r="49" spans="1:29" ht="54" customHeight="1" x14ac:dyDescent="0.25">
      <c r="A49" s="219"/>
      <c r="B49" s="249">
        <v>34</v>
      </c>
      <c r="C49" s="275" t="s">
        <v>238</v>
      </c>
      <c r="D49" s="274" t="s">
        <v>1307</v>
      </c>
      <c r="E49" s="471" t="s">
        <v>931</v>
      </c>
      <c r="F49" s="472"/>
      <c r="G49" s="472"/>
      <c r="H49" s="472"/>
      <c r="I49" s="473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</row>
    <row r="50" spans="1:29" ht="54" customHeight="1" x14ac:dyDescent="0.25">
      <c r="A50" s="219"/>
      <c r="B50" s="249">
        <v>35</v>
      </c>
      <c r="C50" s="275" t="s">
        <v>239</v>
      </c>
      <c r="D50" s="274" t="s">
        <v>1308</v>
      </c>
      <c r="E50" s="471" t="s">
        <v>931</v>
      </c>
      <c r="F50" s="472"/>
      <c r="G50" s="472"/>
      <c r="H50" s="472"/>
      <c r="I50" s="473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</row>
    <row r="51" spans="1:29" ht="54" customHeight="1" x14ac:dyDescent="0.25">
      <c r="A51" s="219"/>
      <c r="B51" s="249">
        <v>36</v>
      </c>
      <c r="C51" s="275" t="s">
        <v>243</v>
      </c>
      <c r="D51" s="274" t="s">
        <v>1309</v>
      </c>
      <c r="E51" s="471" t="s">
        <v>931</v>
      </c>
      <c r="F51" s="472"/>
      <c r="G51" s="472"/>
      <c r="H51" s="472"/>
      <c r="I51" s="473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</row>
    <row r="52" spans="1:29" ht="54" customHeight="1" x14ac:dyDescent="0.25">
      <c r="A52" s="219"/>
      <c r="B52" s="249">
        <v>37</v>
      </c>
      <c r="C52" s="275" t="s">
        <v>854</v>
      </c>
      <c r="D52" s="274" t="s">
        <v>1310</v>
      </c>
      <c r="E52" s="471" t="s">
        <v>929</v>
      </c>
      <c r="F52" s="472"/>
      <c r="G52" s="472"/>
      <c r="H52" s="472"/>
      <c r="I52" s="473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</row>
    <row r="53" spans="1:29" ht="54" customHeight="1" x14ac:dyDescent="0.25">
      <c r="A53" s="219"/>
      <c r="B53" s="249">
        <v>38</v>
      </c>
      <c r="C53" s="275" t="s">
        <v>583</v>
      </c>
      <c r="D53" s="274" t="s">
        <v>1311</v>
      </c>
      <c r="E53" s="471" t="s">
        <v>933</v>
      </c>
      <c r="F53" s="472"/>
      <c r="G53" s="472"/>
      <c r="H53" s="472"/>
      <c r="I53" s="473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</row>
    <row r="54" spans="1:29" ht="54" customHeight="1" x14ac:dyDescent="0.25">
      <c r="A54" s="219"/>
      <c r="B54" s="249">
        <v>39</v>
      </c>
      <c r="C54" s="275" t="s">
        <v>946</v>
      </c>
      <c r="D54" s="275" t="s">
        <v>1312</v>
      </c>
      <c r="E54" s="471" t="s">
        <v>929</v>
      </c>
      <c r="F54" s="472"/>
      <c r="G54" s="472"/>
      <c r="H54" s="472"/>
      <c r="I54" s="473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</row>
    <row r="55" spans="1:29" ht="54" customHeight="1" x14ac:dyDescent="0.25">
      <c r="A55" s="219"/>
      <c r="B55" s="249">
        <v>40</v>
      </c>
      <c r="C55" s="275" t="s">
        <v>858</v>
      </c>
      <c r="D55" s="275" t="s">
        <v>1313</v>
      </c>
      <c r="E55" s="471" t="s">
        <v>929</v>
      </c>
      <c r="F55" s="472"/>
      <c r="G55" s="472"/>
      <c r="H55" s="472"/>
      <c r="I55" s="473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</row>
    <row r="56" spans="1:29" ht="54" customHeight="1" x14ac:dyDescent="0.25">
      <c r="A56" s="219"/>
      <c r="B56" s="249">
        <v>41</v>
      </c>
      <c r="C56" s="275" t="s">
        <v>860</v>
      </c>
      <c r="D56" s="274" t="s">
        <v>1314</v>
      </c>
      <c r="E56" s="471" t="s">
        <v>931</v>
      </c>
      <c r="F56" s="472"/>
      <c r="G56" s="472"/>
      <c r="H56" s="472"/>
      <c r="I56" s="473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</row>
    <row r="57" spans="1:29" ht="54" customHeight="1" x14ac:dyDescent="0.25">
      <c r="A57" s="219"/>
      <c r="B57" s="249">
        <v>42</v>
      </c>
      <c r="C57" s="275" t="s">
        <v>579</v>
      </c>
      <c r="D57" s="274" t="s">
        <v>1315</v>
      </c>
      <c r="E57" s="471" t="s">
        <v>929</v>
      </c>
      <c r="F57" s="472"/>
      <c r="G57" s="472"/>
      <c r="H57" s="472"/>
      <c r="I57" s="473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</row>
    <row r="58" spans="1:29" ht="54" customHeight="1" x14ac:dyDescent="0.25">
      <c r="A58" s="219"/>
      <c r="B58" s="249">
        <v>43</v>
      </c>
      <c r="C58" s="275" t="s">
        <v>862</v>
      </c>
      <c r="D58" s="274" t="s">
        <v>1316</v>
      </c>
      <c r="E58" s="471" t="s">
        <v>929</v>
      </c>
      <c r="F58" s="472"/>
      <c r="G58" s="472"/>
      <c r="H58" s="472"/>
      <c r="I58" s="473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</row>
    <row r="59" spans="1:29" ht="54" customHeight="1" x14ac:dyDescent="0.25">
      <c r="A59" s="219"/>
      <c r="B59" s="249">
        <v>44</v>
      </c>
      <c r="C59" s="275" t="s">
        <v>258</v>
      </c>
      <c r="D59" s="274" t="s">
        <v>1317</v>
      </c>
      <c r="E59" s="471" t="s">
        <v>931</v>
      </c>
      <c r="F59" s="472"/>
      <c r="G59" s="472"/>
      <c r="H59" s="472"/>
      <c r="I59" s="473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</row>
    <row r="60" spans="1:29" ht="54" customHeight="1" x14ac:dyDescent="0.25">
      <c r="A60" s="219"/>
      <c r="B60" s="249">
        <v>45</v>
      </c>
      <c r="C60" s="275" t="s">
        <v>864</v>
      </c>
      <c r="D60" s="274" t="s">
        <v>1318</v>
      </c>
      <c r="E60" s="471" t="s">
        <v>931</v>
      </c>
      <c r="F60" s="472"/>
      <c r="G60" s="472"/>
      <c r="H60" s="472"/>
      <c r="I60" s="473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</row>
    <row r="61" spans="1:29" ht="54" customHeight="1" x14ac:dyDescent="0.25">
      <c r="A61" s="219"/>
      <c r="B61" s="249">
        <v>46</v>
      </c>
      <c r="C61" s="275" t="s">
        <v>259</v>
      </c>
      <c r="D61" s="274" t="s">
        <v>1319</v>
      </c>
      <c r="E61" s="471" t="s">
        <v>931</v>
      </c>
      <c r="F61" s="472"/>
      <c r="G61" s="472"/>
      <c r="H61" s="472"/>
      <c r="I61" s="473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</row>
    <row r="62" spans="1:29" ht="54" customHeight="1" x14ac:dyDescent="0.25">
      <c r="A62" s="219"/>
      <c r="B62" s="249">
        <v>47</v>
      </c>
      <c r="C62" s="275" t="s">
        <v>263</v>
      </c>
      <c r="D62" s="274" t="s">
        <v>1320</v>
      </c>
      <c r="E62" s="471" t="s">
        <v>931</v>
      </c>
      <c r="F62" s="472"/>
      <c r="G62" s="472"/>
      <c r="H62" s="472"/>
      <c r="I62" s="473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</row>
    <row r="63" spans="1:29" ht="54" customHeight="1" x14ac:dyDescent="0.25">
      <c r="A63" s="219"/>
      <c r="B63" s="249">
        <v>48</v>
      </c>
      <c r="C63" s="275" t="s">
        <v>580</v>
      </c>
      <c r="D63" s="277" t="s">
        <v>1321</v>
      </c>
      <c r="E63" s="471" t="s">
        <v>937</v>
      </c>
      <c r="F63" s="472"/>
      <c r="G63" s="472"/>
      <c r="H63" s="472"/>
      <c r="I63" s="473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</row>
    <row r="64" spans="1:29" ht="54" customHeight="1" x14ac:dyDescent="0.25">
      <c r="A64" s="219"/>
      <c r="B64" s="249">
        <v>49</v>
      </c>
      <c r="C64" s="275" t="s">
        <v>894</v>
      </c>
      <c r="D64" s="275" t="s">
        <v>1322</v>
      </c>
      <c r="E64" s="471" t="s">
        <v>932</v>
      </c>
      <c r="F64" s="472"/>
      <c r="G64" s="472"/>
      <c r="H64" s="472"/>
      <c r="I64" s="473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</row>
    <row r="65" spans="1:29" ht="54" customHeight="1" x14ac:dyDescent="0.25">
      <c r="A65" s="219"/>
      <c r="B65" s="249">
        <v>50</v>
      </c>
      <c r="C65" s="275" t="s">
        <v>870</v>
      </c>
      <c r="D65" s="275" t="s">
        <v>1323</v>
      </c>
      <c r="E65" s="471" t="s">
        <v>930</v>
      </c>
      <c r="F65" s="472"/>
      <c r="G65" s="472"/>
      <c r="H65" s="472"/>
      <c r="I65" s="473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</row>
    <row r="66" spans="1:29" ht="54" customHeight="1" x14ac:dyDescent="0.25">
      <c r="A66" s="219"/>
      <c r="B66" s="249">
        <v>51</v>
      </c>
      <c r="C66" s="275" t="s">
        <v>871</v>
      </c>
      <c r="D66" s="274" t="s">
        <v>1324</v>
      </c>
      <c r="E66" s="471" t="s">
        <v>929</v>
      </c>
      <c r="F66" s="472"/>
      <c r="G66" s="472"/>
      <c r="H66" s="472"/>
      <c r="I66" s="473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</row>
    <row r="67" spans="1:29" ht="54" customHeight="1" x14ac:dyDescent="0.25">
      <c r="A67" s="219"/>
      <c r="B67" s="249">
        <v>52</v>
      </c>
      <c r="C67" s="275" t="s">
        <v>873</v>
      </c>
      <c r="D67" s="277" t="s">
        <v>1325</v>
      </c>
      <c r="E67" s="471" t="s">
        <v>938</v>
      </c>
      <c r="F67" s="472"/>
      <c r="G67" s="472"/>
      <c r="H67" s="472"/>
      <c r="I67" s="473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</row>
    <row r="68" spans="1:29" ht="54" customHeight="1" x14ac:dyDescent="0.25">
      <c r="A68" s="219"/>
      <c r="B68" s="249">
        <v>53</v>
      </c>
      <c r="C68" s="275" t="s">
        <v>1050</v>
      </c>
      <c r="D68" s="274" t="s">
        <v>1326</v>
      </c>
      <c r="E68" s="471" t="s">
        <v>929</v>
      </c>
      <c r="F68" s="472"/>
      <c r="G68" s="472"/>
      <c r="H68" s="472"/>
      <c r="I68" s="473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</row>
    <row r="69" spans="1:29" ht="54" customHeight="1" x14ac:dyDescent="0.25">
      <c r="A69" s="219"/>
      <c r="B69" s="249">
        <v>54</v>
      </c>
      <c r="C69" s="275" t="s">
        <v>1052</v>
      </c>
      <c r="D69" s="274" t="s">
        <v>1327</v>
      </c>
      <c r="E69" s="471" t="s">
        <v>931</v>
      </c>
      <c r="F69" s="472"/>
      <c r="G69" s="472"/>
      <c r="H69" s="472"/>
      <c r="I69" s="473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</row>
    <row r="70" spans="1:29" ht="54" customHeight="1" x14ac:dyDescent="0.25">
      <c r="A70" s="219"/>
      <c r="B70" s="249">
        <v>54</v>
      </c>
      <c r="C70" s="275" t="s">
        <v>644</v>
      </c>
      <c r="D70" s="274" t="s">
        <v>1328</v>
      </c>
      <c r="E70" s="471" t="s">
        <v>929</v>
      </c>
      <c r="F70" s="472"/>
      <c r="G70" s="472"/>
      <c r="H70" s="472"/>
      <c r="I70" s="473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</row>
    <row r="71" spans="1:29" ht="54" customHeight="1" x14ac:dyDescent="0.25">
      <c r="A71" s="219"/>
      <c r="B71" s="249">
        <v>55</v>
      </c>
      <c r="C71" s="275" t="s">
        <v>1054</v>
      </c>
      <c r="D71" s="274" t="s">
        <v>1329</v>
      </c>
      <c r="E71" s="471" t="s">
        <v>931</v>
      </c>
      <c r="F71" s="472"/>
      <c r="G71" s="472"/>
      <c r="H71" s="472"/>
      <c r="I71" s="47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</row>
    <row r="72" spans="1:29" ht="54" customHeight="1" x14ac:dyDescent="0.25">
      <c r="A72" s="219"/>
      <c r="B72" s="249">
        <v>56</v>
      </c>
      <c r="C72" s="275" t="s">
        <v>667</v>
      </c>
      <c r="D72" s="274" t="s">
        <v>1330</v>
      </c>
      <c r="E72" s="471" t="s">
        <v>929</v>
      </c>
      <c r="F72" s="472"/>
      <c r="G72" s="472"/>
      <c r="H72" s="472"/>
      <c r="I72" s="473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</row>
    <row r="73" spans="1:29" ht="54" customHeight="1" x14ac:dyDescent="0.25">
      <c r="A73" s="219"/>
      <c r="B73" s="249">
        <v>57</v>
      </c>
      <c r="C73" s="275" t="s">
        <v>668</v>
      </c>
      <c r="D73" s="275" t="s">
        <v>1331</v>
      </c>
      <c r="E73" s="471" t="s">
        <v>929</v>
      </c>
      <c r="F73" s="472"/>
      <c r="G73" s="472"/>
      <c r="H73" s="472"/>
      <c r="I73" s="47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</row>
    <row r="74" spans="1:29" ht="54" customHeight="1" x14ac:dyDescent="0.25">
      <c r="A74" s="219"/>
      <c r="B74" s="249">
        <v>59</v>
      </c>
      <c r="C74" s="275" t="s">
        <v>669</v>
      </c>
      <c r="D74" s="274" t="s">
        <v>1332</v>
      </c>
      <c r="E74" s="471" t="s">
        <v>929</v>
      </c>
      <c r="F74" s="472"/>
      <c r="G74" s="472"/>
      <c r="H74" s="472"/>
      <c r="I74" s="473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</row>
    <row r="75" spans="1:29" ht="54" customHeight="1" x14ac:dyDescent="0.25">
      <c r="A75" s="219"/>
      <c r="B75" s="249">
        <v>60</v>
      </c>
      <c r="C75" s="275" t="s">
        <v>670</v>
      </c>
      <c r="D75" s="275" t="s">
        <v>1333</v>
      </c>
      <c r="E75" s="471" t="s">
        <v>929</v>
      </c>
      <c r="F75" s="472"/>
      <c r="G75" s="472"/>
      <c r="H75" s="472"/>
      <c r="I75" s="47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</row>
    <row r="76" spans="1:29" ht="54" customHeight="1" x14ac:dyDescent="0.25">
      <c r="A76" s="219"/>
      <c r="B76" s="249">
        <v>61</v>
      </c>
      <c r="C76" s="275" t="s">
        <v>671</v>
      </c>
      <c r="D76" s="275" t="s">
        <v>1334</v>
      </c>
      <c r="E76" s="471" t="s">
        <v>929</v>
      </c>
      <c r="F76" s="472"/>
      <c r="G76" s="472"/>
      <c r="H76" s="472"/>
      <c r="I76" s="473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</row>
    <row r="77" spans="1:29" ht="54" customHeight="1" x14ac:dyDescent="0.25">
      <c r="A77" s="219"/>
      <c r="B77" s="249">
        <v>62</v>
      </c>
      <c r="C77" s="275" t="s">
        <v>672</v>
      </c>
      <c r="D77" s="274" t="s">
        <v>1335</v>
      </c>
      <c r="E77" s="471" t="s">
        <v>929</v>
      </c>
      <c r="F77" s="472"/>
      <c r="G77" s="472"/>
      <c r="H77" s="472"/>
      <c r="I77" s="473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</row>
    <row r="78" spans="1:29" ht="54" customHeight="1" x14ac:dyDescent="0.25">
      <c r="A78" s="219"/>
      <c r="B78" s="249">
        <v>63</v>
      </c>
      <c r="C78" s="275" t="s">
        <v>673</v>
      </c>
      <c r="D78" s="275" t="s">
        <v>1336</v>
      </c>
      <c r="E78" s="471" t="s">
        <v>931</v>
      </c>
      <c r="F78" s="472"/>
      <c r="G78" s="472"/>
      <c r="H78" s="472"/>
      <c r="I78" s="473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</row>
    <row r="79" spans="1:29" ht="54" customHeight="1" x14ac:dyDescent="0.25">
      <c r="A79" s="219"/>
      <c r="B79" s="249">
        <v>64</v>
      </c>
      <c r="C79" s="275" t="s">
        <v>1058</v>
      </c>
      <c r="D79" s="274" t="s">
        <v>1337</v>
      </c>
      <c r="E79" s="471" t="s">
        <v>931</v>
      </c>
      <c r="F79" s="472"/>
      <c r="G79" s="472"/>
      <c r="H79" s="472"/>
      <c r="I79" s="473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</row>
    <row r="80" spans="1:29" ht="54" customHeight="1" x14ac:dyDescent="0.25">
      <c r="A80" s="219"/>
      <c r="B80" s="249">
        <v>65</v>
      </c>
      <c r="C80" s="275" t="s">
        <v>606</v>
      </c>
      <c r="D80" s="275" t="s">
        <v>1338</v>
      </c>
      <c r="E80" s="471" t="s">
        <v>931</v>
      </c>
      <c r="F80" s="472"/>
      <c r="G80" s="472"/>
      <c r="H80" s="472"/>
      <c r="I80" s="473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</row>
    <row r="81" spans="1:29" ht="54" customHeight="1" x14ac:dyDescent="0.25">
      <c r="A81" s="219"/>
      <c r="B81" s="249">
        <v>66</v>
      </c>
      <c r="C81" s="275" t="s">
        <v>883</v>
      </c>
      <c r="D81" s="274" t="s">
        <v>1339</v>
      </c>
      <c r="E81" s="471" t="s">
        <v>931</v>
      </c>
      <c r="F81" s="472"/>
      <c r="G81" s="472"/>
      <c r="H81" s="472"/>
      <c r="I81" s="473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</row>
    <row r="82" spans="1:29" ht="54" customHeight="1" x14ac:dyDescent="0.25">
      <c r="A82" s="219"/>
      <c r="B82" s="249">
        <v>67</v>
      </c>
      <c r="C82" s="275" t="s">
        <v>1061</v>
      </c>
      <c r="D82" s="274" t="s">
        <v>1340</v>
      </c>
      <c r="E82" s="471" t="s">
        <v>931</v>
      </c>
      <c r="F82" s="472"/>
      <c r="G82" s="472"/>
      <c r="H82" s="472"/>
      <c r="I82" s="473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</row>
    <row r="83" spans="1:29" ht="54" customHeight="1" x14ac:dyDescent="0.25">
      <c r="A83" s="219"/>
      <c r="B83" s="249">
        <v>68</v>
      </c>
      <c r="C83" s="275" t="s">
        <v>1064</v>
      </c>
      <c r="D83" s="274" t="s">
        <v>1341</v>
      </c>
      <c r="E83" s="471" t="s">
        <v>930</v>
      </c>
      <c r="F83" s="472"/>
      <c r="G83" s="472"/>
      <c r="H83" s="472"/>
      <c r="I83" s="473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</row>
    <row r="84" spans="1:29" ht="54" customHeight="1" x14ac:dyDescent="0.25">
      <c r="A84" s="219"/>
      <c r="B84" s="249">
        <v>69</v>
      </c>
      <c r="C84" s="275" t="s">
        <v>1070</v>
      </c>
      <c r="D84" s="275" t="s">
        <v>1342</v>
      </c>
      <c r="E84" s="471" t="s">
        <v>930</v>
      </c>
      <c r="F84" s="472"/>
      <c r="G84" s="472"/>
      <c r="H84" s="472"/>
      <c r="I84" s="473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</row>
    <row r="85" spans="1:29" ht="54" customHeight="1" x14ac:dyDescent="0.25">
      <c r="A85" s="219"/>
      <c r="B85" s="249">
        <v>70</v>
      </c>
      <c r="C85" s="275" t="s">
        <v>610</v>
      </c>
      <c r="D85" s="274" t="s">
        <v>1343</v>
      </c>
      <c r="E85" s="471" t="s">
        <v>929</v>
      </c>
      <c r="F85" s="472"/>
      <c r="G85" s="472"/>
      <c r="H85" s="472"/>
      <c r="I85" s="473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</row>
    <row r="86" spans="1:29" ht="54" customHeight="1" x14ac:dyDescent="0.25">
      <c r="A86" s="219"/>
      <c r="B86" s="249">
        <v>71</v>
      </c>
      <c r="C86" s="275" t="s">
        <v>881</v>
      </c>
      <c r="D86" s="275" t="s">
        <v>1344</v>
      </c>
      <c r="E86" s="471" t="s">
        <v>929</v>
      </c>
      <c r="F86" s="472"/>
      <c r="G86" s="472"/>
      <c r="H86" s="472"/>
      <c r="I86" s="473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</row>
    <row r="87" spans="1:29" ht="54" customHeight="1" x14ac:dyDescent="0.25">
      <c r="A87" s="219"/>
      <c r="B87" s="249">
        <v>72</v>
      </c>
      <c r="C87" s="275" t="s">
        <v>676</v>
      </c>
      <c r="D87" s="274" t="s">
        <v>1345</v>
      </c>
      <c r="E87" s="471" t="s">
        <v>929</v>
      </c>
      <c r="F87" s="472"/>
      <c r="G87" s="472"/>
      <c r="H87" s="472"/>
      <c r="I87" s="473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</row>
    <row r="88" spans="1:29" ht="54" customHeight="1" x14ac:dyDescent="0.25">
      <c r="A88" s="219"/>
      <c r="B88" s="249">
        <v>73</v>
      </c>
      <c r="C88" s="275" t="s">
        <v>680</v>
      </c>
      <c r="D88" s="277" t="s">
        <v>1346</v>
      </c>
      <c r="E88" s="471" t="s">
        <v>939</v>
      </c>
      <c r="F88" s="472"/>
      <c r="G88" s="472"/>
      <c r="H88" s="472"/>
      <c r="I88" s="473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</row>
    <row r="89" spans="1:29" ht="54" customHeight="1" x14ac:dyDescent="0.25">
      <c r="A89" s="219"/>
      <c r="B89" s="249">
        <v>74</v>
      </c>
      <c r="C89" s="275" t="s">
        <v>204</v>
      </c>
      <c r="D89" s="274" t="s">
        <v>1347</v>
      </c>
      <c r="E89" s="471" t="s">
        <v>931</v>
      </c>
      <c r="F89" s="472"/>
      <c r="G89" s="472"/>
      <c r="H89" s="472"/>
      <c r="I89" s="473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</row>
    <row r="90" spans="1:29" ht="54" customHeight="1" x14ac:dyDescent="0.25">
      <c r="A90" s="219"/>
      <c r="B90" s="249">
        <v>75</v>
      </c>
      <c r="C90" s="275" t="s">
        <v>685</v>
      </c>
      <c r="D90" s="275" t="s">
        <v>1348</v>
      </c>
      <c r="E90" s="471" t="s">
        <v>931</v>
      </c>
      <c r="F90" s="472"/>
      <c r="G90" s="472"/>
      <c r="H90" s="472"/>
      <c r="I90" s="473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</row>
    <row r="91" spans="1:29" ht="54" customHeight="1" x14ac:dyDescent="0.25">
      <c r="A91" s="219"/>
      <c r="B91" s="249">
        <v>76</v>
      </c>
      <c r="C91" s="275" t="s">
        <v>686</v>
      </c>
      <c r="D91" s="275" t="s">
        <v>1349</v>
      </c>
      <c r="E91" s="471" t="s">
        <v>929</v>
      </c>
      <c r="F91" s="472"/>
      <c r="G91" s="472"/>
      <c r="H91" s="472"/>
      <c r="I91" s="473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</row>
    <row r="92" spans="1:29" ht="54" customHeight="1" x14ac:dyDescent="0.25">
      <c r="A92" s="219"/>
      <c r="B92" s="249">
        <v>77</v>
      </c>
      <c r="C92" s="275" t="s">
        <v>687</v>
      </c>
      <c r="D92" s="274" t="s">
        <v>1350</v>
      </c>
      <c r="E92" s="471" t="s">
        <v>931</v>
      </c>
      <c r="F92" s="472"/>
      <c r="G92" s="472"/>
      <c r="H92" s="472"/>
      <c r="I92" s="473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</row>
    <row r="93" spans="1:29" ht="54" customHeight="1" x14ac:dyDescent="0.25">
      <c r="A93" s="219"/>
      <c r="B93" s="249">
        <v>78</v>
      </c>
      <c r="C93" s="275" t="s">
        <v>199</v>
      </c>
      <c r="D93" s="275" t="s">
        <v>1351</v>
      </c>
      <c r="E93" s="471" t="s">
        <v>929</v>
      </c>
      <c r="F93" s="472"/>
      <c r="G93" s="472"/>
      <c r="H93" s="472"/>
      <c r="I93" s="473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</row>
    <row r="94" spans="1:29" ht="54" customHeight="1" x14ac:dyDescent="0.25">
      <c r="A94" s="219"/>
      <c r="B94" s="249">
        <v>79</v>
      </c>
      <c r="C94" s="275" t="s">
        <v>884</v>
      </c>
      <c r="D94" s="274" t="s">
        <v>1352</v>
      </c>
      <c r="E94" s="471" t="s">
        <v>931</v>
      </c>
      <c r="F94" s="472"/>
      <c r="G94" s="472"/>
      <c r="H94" s="472"/>
      <c r="I94" s="473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</row>
    <row r="95" spans="1:29" ht="54" customHeight="1" x14ac:dyDescent="0.25">
      <c r="A95" s="219"/>
      <c r="B95" s="249">
        <v>80</v>
      </c>
      <c r="C95" s="275" t="s">
        <v>734</v>
      </c>
      <c r="D95" s="275" t="s">
        <v>1353</v>
      </c>
      <c r="E95" s="471" t="s">
        <v>929</v>
      </c>
      <c r="F95" s="472"/>
      <c r="G95" s="472"/>
      <c r="H95" s="472"/>
      <c r="I95" s="473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</row>
    <row r="96" spans="1:29" ht="54" customHeight="1" x14ac:dyDescent="0.25">
      <c r="A96" s="219"/>
      <c r="B96" s="249">
        <v>81</v>
      </c>
      <c r="C96" s="275" t="s">
        <v>885</v>
      </c>
      <c r="D96" s="275" t="s">
        <v>1354</v>
      </c>
      <c r="E96" s="471" t="s">
        <v>931</v>
      </c>
      <c r="F96" s="472"/>
      <c r="G96" s="472"/>
      <c r="H96" s="472"/>
      <c r="I96" s="473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</row>
    <row r="97" spans="1:29" ht="54" customHeight="1" x14ac:dyDescent="0.25">
      <c r="A97" s="219"/>
      <c r="B97" s="249">
        <v>82</v>
      </c>
      <c r="C97" s="275" t="s">
        <v>886</v>
      </c>
      <c r="D97" s="275" t="s">
        <v>1355</v>
      </c>
      <c r="E97" s="471" t="s">
        <v>933</v>
      </c>
      <c r="F97" s="472"/>
      <c r="G97" s="472"/>
      <c r="H97" s="472"/>
      <c r="I97" s="473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</row>
    <row r="98" spans="1:29" ht="54" customHeight="1" x14ac:dyDescent="0.25">
      <c r="A98" s="219"/>
      <c r="B98" s="249">
        <v>83</v>
      </c>
      <c r="C98" s="275" t="s">
        <v>887</v>
      </c>
      <c r="D98" s="275" t="s">
        <v>1356</v>
      </c>
      <c r="E98" s="471" t="s">
        <v>932</v>
      </c>
      <c r="F98" s="472"/>
      <c r="G98" s="472"/>
      <c r="H98" s="472"/>
      <c r="I98" s="473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</row>
    <row r="99" spans="1:29" ht="54" customHeight="1" x14ac:dyDescent="0.25">
      <c r="A99" s="219"/>
      <c r="B99" s="249">
        <v>84</v>
      </c>
      <c r="C99" s="275" t="s">
        <v>1078</v>
      </c>
      <c r="D99" s="274" t="s">
        <v>1357</v>
      </c>
      <c r="E99" s="471" t="s">
        <v>931</v>
      </c>
      <c r="F99" s="472"/>
      <c r="G99" s="472"/>
      <c r="H99" s="472"/>
      <c r="I99" s="473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</row>
    <row r="100" spans="1:29" ht="54" customHeight="1" x14ac:dyDescent="0.25">
      <c r="A100" s="219"/>
      <c r="B100" s="249">
        <v>85</v>
      </c>
      <c r="C100" s="275" t="s">
        <v>692</v>
      </c>
      <c r="D100" s="275" t="s">
        <v>1358</v>
      </c>
      <c r="E100" s="471" t="s">
        <v>930</v>
      </c>
      <c r="F100" s="472"/>
      <c r="G100" s="472"/>
      <c r="H100" s="472"/>
      <c r="I100" s="473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</row>
    <row r="101" spans="1:29" ht="54" customHeight="1" x14ac:dyDescent="0.25">
      <c r="A101" s="219"/>
      <c r="B101" s="249">
        <v>86</v>
      </c>
      <c r="C101" s="275" t="s">
        <v>693</v>
      </c>
      <c r="D101" s="275" t="s">
        <v>1359</v>
      </c>
      <c r="E101" s="471" t="s">
        <v>930</v>
      </c>
      <c r="F101" s="472"/>
      <c r="G101" s="472"/>
      <c r="H101" s="472"/>
      <c r="I101" s="473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</row>
    <row r="102" spans="1:29" ht="54" customHeight="1" x14ac:dyDescent="0.25">
      <c r="A102" s="219"/>
      <c r="B102" s="249">
        <v>87</v>
      </c>
      <c r="C102" s="275" t="s">
        <v>694</v>
      </c>
      <c r="D102" s="275" t="s">
        <v>1360</v>
      </c>
      <c r="E102" s="471" t="s">
        <v>930</v>
      </c>
      <c r="F102" s="472"/>
      <c r="G102" s="472"/>
      <c r="H102" s="472"/>
      <c r="I102" s="473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</row>
    <row r="103" spans="1:29" ht="54" customHeight="1" x14ac:dyDescent="0.25">
      <c r="A103" s="219"/>
      <c r="B103" s="249">
        <v>88</v>
      </c>
      <c r="C103" s="275" t="s">
        <v>695</v>
      </c>
      <c r="D103" s="275" t="s">
        <v>1361</v>
      </c>
      <c r="E103" s="471" t="s">
        <v>930</v>
      </c>
      <c r="F103" s="472"/>
      <c r="G103" s="472"/>
      <c r="H103" s="472"/>
      <c r="I103" s="473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</row>
    <row r="104" spans="1:29" ht="54" customHeight="1" x14ac:dyDescent="0.25">
      <c r="A104" s="219"/>
      <c r="B104" s="249">
        <v>89</v>
      </c>
      <c r="C104" s="275" t="s">
        <v>696</v>
      </c>
      <c r="D104" s="275" t="s">
        <v>1362</v>
      </c>
      <c r="E104" s="471" t="s">
        <v>930</v>
      </c>
      <c r="F104" s="472"/>
      <c r="G104" s="472"/>
      <c r="H104" s="472"/>
      <c r="I104" s="473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</row>
    <row r="105" spans="1:29" ht="54" customHeight="1" x14ac:dyDescent="0.25">
      <c r="A105" s="219"/>
      <c r="B105" s="249">
        <v>90</v>
      </c>
      <c r="C105" s="275" t="s">
        <v>697</v>
      </c>
      <c r="D105" s="275" t="s">
        <v>1363</v>
      </c>
      <c r="E105" s="471" t="s">
        <v>930</v>
      </c>
      <c r="F105" s="472"/>
      <c r="G105" s="472"/>
      <c r="H105" s="472"/>
      <c r="I105" s="473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</row>
    <row r="106" spans="1:29" ht="54" customHeight="1" x14ac:dyDescent="0.25">
      <c r="A106" s="219"/>
      <c r="B106" s="249">
        <v>91</v>
      </c>
      <c r="C106" s="275" t="s">
        <v>698</v>
      </c>
      <c r="D106" s="274" t="s">
        <v>1364</v>
      </c>
      <c r="E106" s="471" t="s">
        <v>930</v>
      </c>
      <c r="F106" s="472"/>
      <c r="G106" s="472"/>
      <c r="H106" s="472"/>
      <c r="I106" s="473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</row>
    <row r="107" spans="1:29" ht="54" customHeight="1" x14ac:dyDescent="0.25">
      <c r="A107" s="219"/>
      <c r="B107" s="249">
        <v>92</v>
      </c>
      <c r="C107" s="275" t="s">
        <v>699</v>
      </c>
      <c r="D107" s="274" t="s">
        <v>1365</v>
      </c>
      <c r="E107" s="471" t="s">
        <v>930</v>
      </c>
      <c r="F107" s="472"/>
      <c r="G107" s="472"/>
      <c r="H107" s="472"/>
      <c r="I107" s="473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</row>
    <row r="108" spans="1:29" ht="54" customHeight="1" x14ac:dyDescent="0.25">
      <c r="A108" s="219"/>
      <c r="B108" s="249">
        <v>93</v>
      </c>
      <c r="C108" s="275" t="s">
        <v>704</v>
      </c>
      <c r="D108" s="275" t="s">
        <v>1366</v>
      </c>
      <c r="E108" s="471" t="s">
        <v>930</v>
      </c>
      <c r="F108" s="472"/>
      <c r="G108" s="472"/>
      <c r="H108" s="472"/>
      <c r="I108" s="473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</row>
    <row r="109" spans="1:29" ht="54" customHeight="1" x14ac:dyDescent="0.25">
      <c r="A109" s="219"/>
      <c r="B109" s="249">
        <v>94</v>
      </c>
      <c r="C109" s="275" t="s">
        <v>1083</v>
      </c>
      <c r="D109" s="275" t="s">
        <v>1367</v>
      </c>
      <c r="E109" s="471" t="s">
        <v>930</v>
      </c>
      <c r="F109" s="472"/>
      <c r="G109" s="472"/>
      <c r="H109" s="472"/>
      <c r="I109" s="473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</row>
    <row r="110" spans="1:29" ht="54" customHeight="1" x14ac:dyDescent="0.25">
      <c r="A110" s="219"/>
      <c r="B110" s="249">
        <v>95</v>
      </c>
      <c r="C110" s="275" t="s">
        <v>705</v>
      </c>
      <c r="D110" s="275" t="s">
        <v>1368</v>
      </c>
      <c r="E110" s="471" t="s">
        <v>930</v>
      </c>
      <c r="F110" s="472"/>
      <c r="G110" s="472"/>
      <c r="H110" s="472"/>
      <c r="I110" s="473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</row>
    <row r="111" spans="1:29" ht="54" customHeight="1" x14ac:dyDescent="0.25">
      <c r="A111" s="219"/>
      <c r="B111" s="249">
        <v>96</v>
      </c>
      <c r="C111" s="275" t="s">
        <v>1086</v>
      </c>
      <c r="D111" s="275" t="s">
        <v>1369</v>
      </c>
      <c r="E111" s="471" t="s">
        <v>930</v>
      </c>
      <c r="F111" s="472"/>
      <c r="G111" s="472"/>
      <c r="H111" s="472"/>
      <c r="I111" s="473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</row>
    <row r="112" spans="1:29" ht="54" customHeight="1" x14ac:dyDescent="0.25">
      <c r="A112" s="219"/>
      <c r="B112" s="249">
        <v>97</v>
      </c>
      <c r="C112" s="275" t="s">
        <v>907</v>
      </c>
      <c r="D112" s="275" t="s">
        <v>1370</v>
      </c>
      <c r="E112" s="471" t="s">
        <v>933</v>
      </c>
      <c r="F112" s="472"/>
      <c r="G112" s="472"/>
      <c r="H112" s="472"/>
      <c r="I112" s="473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</row>
    <row r="113" spans="1:29" ht="54" customHeight="1" x14ac:dyDescent="0.25">
      <c r="A113" s="219"/>
      <c r="B113" s="249">
        <v>98</v>
      </c>
      <c r="C113" s="275" t="s">
        <v>718</v>
      </c>
      <c r="D113" s="275" t="s">
        <v>1371</v>
      </c>
      <c r="E113" s="471" t="s">
        <v>930</v>
      </c>
      <c r="F113" s="472"/>
      <c r="G113" s="472"/>
      <c r="H113" s="472"/>
      <c r="I113" s="473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</row>
    <row r="114" spans="1:29" ht="54" customHeight="1" x14ac:dyDescent="0.25">
      <c r="A114" s="219"/>
      <c r="B114" s="249">
        <v>99</v>
      </c>
      <c r="C114" s="275" t="s">
        <v>1087</v>
      </c>
      <c r="D114" s="275" t="s">
        <v>1372</v>
      </c>
      <c r="E114" s="471" t="s">
        <v>929</v>
      </c>
      <c r="F114" s="472"/>
      <c r="G114" s="472"/>
      <c r="H114" s="472"/>
      <c r="I114" s="473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</row>
    <row r="115" spans="1:29" ht="54" customHeight="1" x14ac:dyDescent="0.25">
      <c r="A115" s="219"/>
      <c r="B115" s="249">
        <v>100</v>
      </c>
      <c r="C115" s="275" t="s">
        <v>910</v>
      </c>
      <c r="D115" s="275" t="s">
        <v>1373</v>
      </c>
      <c r="E115" s="471" t="s">
        <v>930</v>
      </c>
      <c r="F115" s="472"/>
      <c r="G115" s="472"/>
      <c r="H115" s="472"/>
      <c r="I115" s="473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</row>
    <row r="116" spans="1:29" ht="54" customHeight="1" x14ac:dyDescent="0.25">
      <c r="A116" s="219"/>
      <c r="B116" s="249">
        <v>101</v>
      </c>
      <c r="C116" s="275" t="s">
        <v>225</v>
      </c>
      <c r="D116" s="275" t="s">
        <v>1374</v>
      </c>
      <c r="E116" s="471" t="s">
        <v>931</v>
      </c>
      <c r="F116" s="472"/>
      <c r="G116" s="472"/>
      <c r="H116" s="472"/>
      <c r="I116" s="473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</row>
    <row r="117" spans="1:29" ht="54" customHeight="1" x14ac:dyDescent="0.25">
      <c r="A117" s="219"/>
      <c r="B117" s="249">
        <v>102</v>
      </c>
      <c r="C117" s="275" t="s">
        <v>719</v>
      </c>
      <c r="D117" s="275" t="s">
        <v>1375</v>
      </c>
      <c r="E117" s="471" t="s">
        <v>930</v>
      </c>
      <c r="F117" s="472"/>
      <c r="G117" s="472"/>
      <c r="H117" s="472"/>
      <c r="I117" s="473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</row>
    <row r="118" spans="1:29" ht="54" customHeight="1" x14ac:dyDescent="0.25">
      <c r="A118" s="219"/>
      <c r="B118" s="249">
        <v>103</v>
      </c>
      <c r="C118" s="275" t="s">
        <v>1089</v>
      </c>
      <c r="D118" s="275" t="s">
        <v>1376</v>
      </c>
      <c r="E118" s="471" t="s">
        <v>930</v>
      </c>
      <c r="F118" s="472"/>
      <c r="G118" s="472"/>
      <c r="H118" s="472"/>
      <c r="I118" s="473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</row>
    <row r="119" spans="1:29" ht="54" customHeight="1" x14ac:dyDescent="0.25">
      <c r="A119" s="219"/>
      <c r="B119" s="249">
        <v>104</v>
      </c>
      <c r="C119" s="275" t="s">
        <v>1090</v>
      </c>
      <c r="D119" s="275" t="s">
        <v>1377</v>
      </c>
      <c r="E119" s="471" t="s">
        <v>930</v>
      </c>
      <c r="F119" s="472"/>
      <c r="G119" s="472"/>
      <c r="H119" s="472"/>
      <c r="I119" s="473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</row>
    <row r="120" spans="1:29" ht="54" customHeight="1" x14ac:dyDescent="0.25">
      <c r="A120" s="219"/>
      <c r="B120" s="249">
        <v>105</v>
      </c>
      <c r="C120" s="275" t="s">
        <v>1091</v>
      </c>
      <c r="D120" s="275" t="s">
        <v>1378</v>
      </c>
      <c r="E120" s="471" t="s">
        <v>931</v>
      </c>
      <c r="F120" s="472"/>
      <c r="G120" s="472"/>
      <c r="H120" s="472"/>
      <c r="I120" s="473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</row>
    <row r="121" spans="1:29" ht="54" customHeight="1" x14ac:dyDescent="0.25">
      <c r="A121" s="219"/>
      <c r="B121" s="249">
        <v>106</v>
      </c>
      <c r="C121" s="275" t="s">
        <v>1092</v>
      </c>
      <c r="D121" s="275" t="s">
        <v>1379</v>
      </c>
      <c r="E121" s="471" t="s">
        <v>931</v>
      </c>
      <c r="F121" s="472"/>
      <c r="G121" s="472"/>
      <c r="H121" s="472"/>
      <c r="I121" s="473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</row>
    <row r="122" spans="1:29" ht="54" customHeight="1" x14ac:dyDescent="0.25">
      <c r="A122" s="219"/>
      <c r="B122" s="249">
        <v>107</v>
      </c>
      <c r="C122" s="275" t="s">
        <v>1093</v>
      </c>
      <c r="D122" s="275" t="s">
        <v>1380</v>
      </c>
      <c r="E122" s="471" t="s">
        <v>930</v>
      </c>
      <c r="F122" s="472"/>
      <c r="G122" s="472"/>
      <c r="H122" s="472"/>
      <c r="I122" s="473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</row>
    <row r="123" spans="1:29" ht="54" customHeight="1" x14ac:dyDescent="0.25">
      <c r="A123" s="219"/>
      <c r="B123" s="249">
        <v>108</v>
      </c>
      <c r="C123" s="275" t="s">
        <v>1094</v>
      </c>
      <c r="D123" s="275" t="s">
        <v>1381</v>
      </c>
      <c r="E123" s="471" t="s">
        <v>929</v>
      </c>
      <c r="F123" s="472"/>
      <c r="G123" s="472"/>
      <c r="H123" s="472"/>
      <c r="I123" s="473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</row>
    <row r="124" spans="1:29" ht="54" customHeight="1" x14ac:dyDescent="0.25">
      <c r="A124" s="219"/>
      <c r="B124" s="249">
        <v>109</v>
      </c>
      <c r="C124" s="275" t="s">
        <v>730</v>
      </c>
      <c r="D124" s="275" t="s">
        <v>1382</v>
      </c>
      <c r="E124" s="471" t="s">
        <v>931</v>
      </c>
      <c r="F124" s="472"/>
      <c r="G124" s="472"/>
      <c r="H124" s="472"/>
      <c r="I124" s="473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</row>
    <row r="125" spans="1:29" ht="54" customHeight="1" x14ac:dyDescent="0.25">
      <c r="A125" s="219"/>
      <c r="B125" s="249">
        <v>110</v>
      </c>
      <c r="C125" s="275" t="s">
        <v>1098</v>
      </c>
      <c r="D125" s="275" t="s">
        <v>1383</v>
      </c>
      <c r="E125" s="471" t="s">
        <v>930</v>
      </c>
      <c r="F125" s="472"/>
      <c r="G125" s="472"/>
      <c r="H125" s="472"/>
      <c r="I125" s="473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</row>
    <row r="126" spans="1:29" ht="54" customHeight="1" x14ac:dyDescent="0.25">
      <c r="A126" s="219"/>
      <c r="B126" s="249">
        <v>111</v>
      </c>
      <c r="C126" s="275" t="s">
        <v>1099</v>
      </c>
      <c r="D126" s="275" t="s">
        <v>1384</v>
      </c>
      <c r="E126" s="471" t="s">
        <v>930</v>
      </c>
      <c r="F126" s="472"/>
      <c r="G126" s="472"/>
      <c r="H126" s="472"/>
      <c r="I126" s="473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</row>
    <row r="127" spans="1:29" ht="54" customHeight="1" x14ac:dyDescent="0.25">
      <c r="A127" s="219"/>
      <c r="B127" s="249">
        <v>112</v>
      </c>
      <c r="C127" s="275" t="s">
        <v>1100</v>
      </c>
      <c r="D127" s="275" t="s">
        <v>1385</v>
      </c>
      <c r="E127" s="471" t="s">
        <v>930</v>
      </c>
      <c r="F127" s="472"/>
      <c r="G127" s="472"/>
      <c r="H127" s="472"/>
      <c r="I127" s="473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</row>
    <row r="128" spans="1:29" ht="54" customHeight="1" x14ac:dyDescent="0.25">
      <c r="A128" s="219"/>
      <c r="B128" s="249">
        <v>113</v>
      </c>
      <c r="C128" s="275" t="s">
        <v>733</v>
      </c>
      <c r="D128" s="274" t="s">
        <v>1386</v>
      </c>
      <c r="E128" s="471" t="s">
        <v>929</v>
      </c>
      <c r="F128" s="472"/>
      <c r="G128" s="472"/>
      <c r="H128" s="472"/>
      <c r="I128" s="473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</row>
    <row r="129" spans="1:29" ht="54" customHeight="1" x14ac:dyDescent="0.25">
      <c r="A129" s="219"/>
      <c r="B129" s="249">
        <v>114</v>
      </c>
      <c r="C129" s="275" t="s">
        <v>948</v>
      </c>
      <c r="D129" s="275" t="s">
        <v>1387</v>
      </c>
      <c r="E129" s="471" t="s">
        <v>930</v>
      </c>
      <c r="F129" s="472"/>
      <c r="G129" s="472"/>
      <c r="H129" s="472"/>
      <c r="I129" s="473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</row>
    <row r="130" spans="1:29" ht="54" customHeight="1" x14ac:dyDescent="0.25">
      <c r="A130" s="219"/>
      <c r="B130" s="249">
        <v>115</v>
      </c>
      <c r="C130" s="275" t="s">
        <v>949</v>
      </c>
      <c r="D130" s="275" t="s">
        <v>1388</v>
      </c>
      <c r="E130" s="471" t="s">
        <v>931</v>
      </c>
      <c r="F130" s="472"/>
      <c r="G130" s="472"/>
      <c r="H130" s="472"/>
      <c r="I130" s="473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</row>
    <row r="131" spans="1:29" ht="54" customHeight="1" x14ac:dyDescent="0.25">
      <c r="A131" s="219"/>
      <c r="B131" s="249">
        <v>116</v>
      </c>
      <c r="C131" s="275" t="s">
        <v>395</v>
      </c>
      <c r="D131" s="275" t="s">
        <v>1389</v>
      </c>
      <c r="E131" s="471" t="s">
        <v>931</v>
      </c>
      <c r="F131" s="472"/>
      <c r="G131" s="472"/>
      <c r="H131" s="472"/>
      <c r="I131" s="473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</row>
    <row r="132" spans="1:29" ht="54" customHeight="1" x14ac:dyDescent="0.25">
      <c r="A132" s="219"/>
      <c r="B132" s="249">
        <v>117</v>
      </c>
      <c r="C132" s="275" t="s">
        <v>226</v>
      </c>
      <c r="D132" s="275" t="s">
        <v>1390</v>
      </c>
      <c r="E132" s="471" t="s">
        <v>930</v>
      </c>
      <c r="F132" s="472"/>
      <c r="G132" s="472"/>
      <c r="H132" s="472"/>
      <c r="I132" s="473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</row>
    <row r="133" spans="1:29" ht="54" customHeight="1" x14ac:dyDescent="0.25">
      <c r="A133" s="219"/>
      <c r="B133" s="249">
        <v>118</v>
      </c>
      <c r="C133" s="275" t="s">
        <v>227</v>
      </c>
      <c r="D133" s="274" t="s">
        <v>1391</v>
      </c>
      <c r="E133" s="471" t="s">
        <v>930</v>
      </c>
      <c r="F133" s="472"/>
      <c r="G133" s="472"/>
      <c r="H133" s="472"/>
      <c r="I133" s="473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</row>
    <row r="134" spans="1:29" ht="54" customHeight="1" x14ac:dyDescent="0.25">
      <c r="A134" s="219"/>
      <c r="B134" s="249">
        <v>119</v>
      </c>
      <c r="C134" s="275" t="s">
        <v>1108</v>
      </c>
      <c r="D134" s="274" t="s">
        <v>1392</v>
      </c>
      <c r="E134" s="471" t="s">
        <v>931</v>
      </c>
      <c r="F134" s="472"/>
      <c r="G134" s="472"/>
      <c r="H134" s="472"/>
      <c r="I134" s="473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</row>
    <row r="135" spans="1:29" ht="54" customHeight="1" x14ac:dyDescent="0.25">
      <c r="A135" s="219"/>
      <c r="B135" s="249">
        <v>120</v>
      </c>
      <c r="C135" s="275" t="s">
        <v>1109</v>
      </c>
      <c r="D135" s="274" t="s">
        <v>1393</v>
      </c>
      <c r="E135" s="471" t="s">
        <v>930</v>
      </c>
      <c r="F135" s="472"/>
      <c r="G135" s="472"/>
      <c r="H135" s="472"/>
      <c r="I135" s="473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</row>
    <row r="136" spans="1:29" ht="54" customHeight="1" x14ac:dyDescent="0.25">
      <c r="A136" s="219"/>
      <c r="B136" s="249">
        <v>121</v>
      </c>
      <c r="C136" s="275" t="s">
        <v>911</v>
      </c>
      <c r="D136" s="275" t="s">
        <v>1394</v>
      </c>
      <c r="E136" s="471" t="s">
        <v>932</v>
      </c>
      <c r="F136" s="472"/>
      <c r="G136" s="472"/>
      <c r="H136" s="472"/>
      <c r="I136" s="473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</row>
    <row r="137" spans="1:29" ht="54" customHeight="1" x14ac:dyDescent="0.25">
      <c r="A137" s="219"/>
      <c r="B137" s="249">
        <v>122</v>
      </c>
      <c r="C137" s="275" t="s">
        <v>912</v>
      </c>
      <c r="D137" s="275" t="s">
        <v>1395</v>
      </c>
      <c r="E137" s="471" t="s">
        <v>930</v>
      </c>
      <c r="F137" s="472"/>
      <c r="G137" s="472"/>
      <c r="H137" s="472"/>
      <c r="I137" s="473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</row>
    <row r="138" spans="1:29" ht="54" customHeight="1" x14ac:dyDescent="0.25">
      <c r="A138" s="219"/>
      <c r="B138" s="249">
        <v>123</v>
      </c>
      <c r="C138" s="275" t="s">
        <v>1110</v>
      </c>
      <c r="D138" s="274" t="s">
        <v>1396</v>
      </c>
      <c r="E138" s="471" t="s">
        <v>930</v>
      </c>
      <c r="F138" s="472"/>
      <c r="G138" s="472"/>
      <c r="H138" s="472"/>
      <c r="I138" s="473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</row>
    <row r="139" spans="1:29" ht="54" customHeight="1" x14ac:dyDescent="0.25">
      <c r="A139" s="219"/>
      <c r="B139" s="249">
        <v>124</v>
      </c>
      <c r="C139" s="275" t="s">
        <v>1111</v>
      </c>
      <c r="D139" s="275" t="s">
        <v>1397</v>
      </c>
      <c r="E139" s="471" t="s">
        <v>931</v>
      </c>
      <c r="F139" s="472"/>
      <c r="G139" s="472"/>
      <c r="H139" s="472"/>
      <c r="I139" s="473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</row>
    <row r="140" spans="1:29" ht="54" customHeight="1" x14ac:dyDescent="0.25">
      <c r="A140" s="219"/>
      <c r="B140" s="249">
        <v>125</v>
      </c>
      <c r="C140" s="275" t="s">
        <v>1112</v>
      </c>
      <c r="D140" s="275" t="s">
        <v>1398</v>
      </c>
      <c r="E140" s="471" t="s">
        <v>931</v>
      </c>
      <c r="F140" s="472"/>
      <c r="G140" s="472"/>
      <c r="H140" s="472"/>
      <c r="I140" s="473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</row>
    <row r="141" spans="1:29" ht="54" customHeight="1" x14ac:dyDescent="0.25">
      <c r="A141" s="219"/>
      <c r="B141" s="249">
        <v>126</v>
      </c>
      <c r="C141" s="275" t="s">
        <v>1113</v>
      </c>
      <c r="D141" s="275" t="s">
        <v>1399</v>
      </c>
      <c r="E141" s="471" t="s">
        <v>930</v>
      </c>
      <c r="F141" s="472"/>
      <c r="G141" s="472"/>
      <c r="H141" s="472"/>
      <c r="I141" s="473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</row>
    <row r="142" spans="1:29" ht="54" customHeight="1" x14ac:dyDescent="0.25">
      <c r="A142" s="219"/>
      <c r="B142" s="249">
        <v>127</v>
      </c>
      <c r="C142" s="275" t="s">
        <v>1114</v>
      </c>
      <c r="D142" s="274" t="s">
        <v>1400</v>
      </c>
      <c r="E142" s="471" t="s">
        <v>930</v>
      </c>
      <c r="F142" s="472"/>
      <c r="G142" s="472"/>
      <c r="H142" s="472"/>
      <c r="I142" s="473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</row>
    <row r="143" spans="1:29" ht="54" customHeight="1" x14ac:dyDescent="0.25">
      <c r="A143" s="219"/>
      <c r="B143" s="249">
        <v>128</v>
      </c>
      <c r="C143" s="275" t="s">
        <v>1115</v>
      </c>
      <c r="D143" s="275" t="s">
        <v>1401</v>
      </c>
      <c r="E143" s="471" t="s">
        <v>930</v>
      </c>
      <c r="F143" s="472"/>
      <c r="G143" s="472"/>
      <c r="H143" s="472"/>
      <c r="I143" s="473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</row>
    <row r="144" spans="1:29" ht="54" customHeight="1" x14ac:dyDescent="0.25">
      <c r="A144" s="219"/>
      <c r="B144" s="249">
        <v>129</v>
      </c>
      <c r="C144" s="275" t="s">
        <v>750</v>
      </c>
      <c r="D144" s="275" t="s">
        <v>1402</v>
      </c>
      <c r="E144" s="471" t="s">
        <v>929</v>
      </c>
      <c r="F144" s="472"/>
      <c r="G144" s="472"/>
      <c r="H144" s="472"/>
      <c r="I144" s="473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</row>
    <row r="145" spans="1:29" ht="54" customHeight="1" x14ac:dyDescent="0.25">
      <c r="A145" s="219"/>
      <c r="B145" s="249">
        <v>130</v>
      </c>
      <c r="C145" s="275" t="s">
        <v>1122</v>
      </c>
      <c r="D145" s="275" t="s">
        <v>1403</v>
      </c>
      <c r="E145" s="471" t="s">
        <v>931</v>
      </c>
      <c r="F145" s="472"/>
      <c r="G145" s="472"/>
      <c r="H145" s="472"/>
      <c r="I145" s="473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</row>
    <row r="146" spans="1:29" ht="54" customHeight="1" x14ac:dyDescent="0.25">
      <c r="A146" s="219"/>
      <c r="B146" s="249">
        <v>131</v>
      </c>
      <c r="C146" s="275" t="s">
        <v>890</v>
      </c>
      <c r="D146" s="275" t="s">
        <v>1404</v>
      </c>
      <c r="E146" s="471" t="s">
        <v>931</v>
      </c>
      <c r="F146" s="472"/>
      <c r="G146" s="472"/>
      <c r="H146" s="472"/>
      <c r="I146" s="473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</row>
    <row r="147" spans="1:29" ht="54" customHeight="1" x14ac:dyDescent="0.25">
      <c r="A147" s="219"/>
      <c r="B147" s="249">
        <v>132</v>
      </c>
      <c r="C147" s="275" t="s">
        <v>752</v>
      </c>
      <c r="D147" s="275" t="s">
        <v>1405</v>
      </c>
      <c r="E147" s="471" t="s">
        <v>931</v>
      </c>
      <c r="F147" s="472"/>
      <c r="G147" s="472"/>
      <c r="H147" s="472"/>
      <c r="I147" s="473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</row>
    <row r="148" spans="1:29" ht="54" customHeight="1" x14ac:dyDescent="0.25">
      <c r="A148" s="219"/>
      <c r="B148" s="249">
        <v>133</v>
      </c>
      <c r="C148" s="275" t="s">
        <v>285</v>
      </c>
      <c r="D148" s="275" t="s">
        <v>1406</v>
      </c>
      <c r="E148" s="471" t="s">
        <v>931</v>
      </c>
      <c r="F148" s="472"/>
      <c r="G148" s="472"/>
      <c r="H148" s="472"/>
      <c r="I148" s="473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</row>
    <row r="149" spans="1:29" ht="54" customHeight="1" x14ac:dyDescent="0.25">
      <c r="A149" s="219"/>
      <c r="B149" s="249">
        <v>134</v>
      </c>
      <c r="C149" s="275" t="s">
        <v>305</v>
      </c>
      <c r="D149" s="275" t="s">
        <v>1407</v>
      </c>
      <c r="E149" s="471" t="s">
        <v>931</v>
      </c>
      <c r="F149" s="472"/>
      <c r="G149" s="472"/>
      <c r="H149" s="472"/>
      <c r="I149" s="473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</row>
    <row r="150" spans="1:29" ht="54" customHeight="1" x14ac:dyDescent="0.25">
      <c r="A150" s="219"/>
      <c r="B150" s="249">
        <v>135</v>
      </c>
      <c r="C150" s="275" t="s">
        <v>1408</v>
      </c>
      <c r="D150" s="275" t="s">
        <v>1409</v>
      </c>
      <c r="E150" s="471" t="s">
        <v>1410</v>
      </c>
      <c r="F150" s="472"/>
      <c r="G150" s="472"/>
      <c r="H150" s="472"/>
      <c r="I150" s="473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</row>
    <row r="151" spans="1:29" ht="54" customHeight="1" x14ac:dyDescent="0.25">
      <c r="A151" s="219"/>
      <c r="B151" s="249">
        <v>136</v>
      </c>
      <c r="C151" s="275" t="s">
        <v>1411</v>
      </c>
      <c r="D151" s="275" t="s">
        <v>1412</v>
      </c>
      <c r="E151" s="471" t="s">
        <v>1413</v>
      </c>
      <c r="F151" s="472"/>
      <c r="G151" s="472"/>
      <c r="H151" s="472"/>
      <c r="I151" s="473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</row>
    <row r="152" spans="1:29" ht="15.75" customHeight="1" x14ac:dyDescent="0.25">
      <c r="A152" s="219"/>
      <c r="B152" s="219"/>
      <c r="C152" s="220"/>
      <c r="D152" s="220"/>
      <c r="E152" s="220"/>
      <c r="F152" s="220"/>
      <c r="G152" s="220"/>
      <c r="H152" s="220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</row>
    <row r="153" spans="1:29" ht="15.75" customHeight="1" x14ac:dyDescent="0.25">
      <c r="A153" s="219"/>
      <c r="B153" s="219"/>
      <c r="C153" s="220"/>
      <c r="D153" s="220"/>
      <c r="E153" s="220"/>
      <c r="F153" s="220"/>
      <c r="G153" s="220"/>
      <c r="H153" s="220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</row>
    <row r="154" spans="1:29" ht="15.75" customHeight="1" x14ac:dyDescent="0.25">
      <c r="A154" s="219"/>
      <c r="B154" s="219"/>
      <c r="C154" s="220"/>
      <c r="D154" s="220"/>
      <c r="E154" s="220"/>
      <c r="F154" s="220"/>
      <c r="G154" s="220"/>
      <c r="H154" s="220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</row>
    <row r="155" spans="1:29" ht="15.75" customHeight="1" x14ac:dyDescent="0.25">
      <c r="A155" s="219"/>
      <c r="B155" s="219"/>
      <c r="C155" s="220"/>
      <c r="D155" s="220"/>
      <c r="E155" s="220"/>
      <c r="F155" s="220"/>
      <c r="G155" s="220"/>
      <c r="H155" s="220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</row>
    <row r="156" spans="1:29" ht="15.75" customHeight="1" x14ac:dyDescent="0.25">
      <c r="A156" s="219"/>
      <c r="B156" s="219"/>
      <c r="C156" s="220"/>
      <c r="D156" s="220"/>
      <c r="E156" s="220"/>
      <c r="F156" s="220"/>
      <c r="G156" s="220"/>
      <c r="H156" s="220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</row>
    <row r="157" spans="1:29" ht="15.75" customHeight="1" x14ac:dyDescent="0.25">
      <c r="A157" s="219"/>
      <c r="B157" s="219"/>
      <c r="C157" s="220"/>
      <c r="D157" s="220"/>
      <c r="E157" s="220"/>
      <c r="F157" s="220"/>
      <c r="G157" s="220"/>
      <c r="H157" s="220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</row>
    <row r="158" spans="1:29" ht="15.75" customHeight="1" x14ac:dyDescent="0.25">
      <c r="A158" s="219"/>
      <c r="B158" s="219"/>
      <c r="C158" s="220"/>
      <c r="D158" s="220"/>
      <c r="E158" s="220"/>
      <c r="F158" s="220"/>
      <c r="G158" s="220"/>
      <c r="H158" s="220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</row>
    <row r="159" spans="1:29" ht="15.75" customHeight="1" x14ac:dyDescent="0.25">
      <c r="A159" s="219"/>
      <c r="B159" s="219"/>
      <c r="C159" s="220"/>
      <c r="D159" s="220"/>
      <c r="E159" s="220"/>
      <c r="F159" s="220"/>
      <c r="G159" s="220"/>
      <c r="H159" s="220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</row>
    <row r="160" spans="1:29" ht="15.75" customHeight="1" x14ac:dyDescent="0.25">
      <c r="A160" s="219"/>
      <c r="B160" s="219"/>
      <c r="C160" s="220"/>
      <c r="D160" s="220"/>
      <c r="E160" s="220"/>
      <c r="F160" s="220"/>
      <c r="G160" s="220"/>
      <c r="H160" s="220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</row>
    <row r="161" spans="1:29" ht="15.75" customHeight="1" x14ac:dyDescent="0.25">
      <c r="A161" s="219"/>
      <c r="B161" s="219"/>
      <c r="C161" s="220"/>
      <c r="D161" s="220"/>
      <c r="E161" s="220"/>
      <c r="F161" s="220"/>
      <c r="G161" s="220"/>
      <c r="H161" s="220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</row>
    <row r="162" spans="1:29" ht="15.75" customHeight="1" x14ac:dyDescent="0.25">
      <c r="A162" s="219"/>
      <c r="B162" s="219"/>
      <c r="C162" s="220"/>
      <c r="D162" s="220"/>
      <c r="E162" s="220"/>
      <c r="F162" s="220"/>
      <c r="G162" s="220"/>
      <c r="H162" s="220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</row>
    <row r="163" spans="1:29" ht="15.75" customHeight="1" x14ac:dyDescent="0.25">
      <c r="A163" s="219"/>
      <c r="B163" s="219"/>
      <c r="C163" s="220"/>
      <c r="D163" s="220"/>
      <c r="E163" s="220"/>
      <c r="F163" s="220"/>
      <c r="G163" s="220"/>
      <c r="H163" s="220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</row>
    <row r="164" spans="1:29" ht="15.75" customHeight="1" x14ac:dyDescent="0.25">
      <c r="A164" s="219"/>
      <c r="B164" s="219"/>
      <c r="C164" s="220"/>
      <c r="D164" s="220"/>
      <c r="E164" s="220"/>
      <c r="F164" s="220"/>
      <c r="G164" s="220"/>
      <c r="H164" s="220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</row>
    <row r="165" spans="1:29" ht="15.75" customHeight="1" x14ac:dyDescent="0.25">
      <c r="A165" s="219"/>
      <c r="B165" s="219"/>
      <c r="C165" s="220"/>
      <c r="D165" s="220"/>
      <c r="E165" s="220"/>
      <c r="F165" s="220"/>
      <c r="G165" s="220"/>
      <c r="H165" s="220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</row>
    <row r="166" spans="1:29" ht="15.75" customHeight="1" x14ac:dyDescent="0.25">
      <c r="A166" s="219"/>
      <c r="B166" s="219"/>
      <c r="C166" s="220"/>
      <c r="D166" s="220"/>
      <c r="E166" s="220"/>
      <c r="F166" s="220"/>
      <c r="G166" s="220"/>
      <c r="H166" s="220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</row>
    <row r="167" spans="1:29" ht="15.75" customHeight="1" x14ac:dyDescent="0.25">
      <c r="A167" s="219"/>
      <c r="B167" s="219"/>
      <c r="C167" s="220"/>
      <c r="D167" s="220"/>
      <c r="E167" s="220"/>
      <c r="F167" s="220"/>
      <c r="G167" s="220"/>
      <c r="H167" s="220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</row>
    <row r="168" spans="1:29" ht="15.75" customHeight="1" x14ac:dyDescent="0.25">
      <c r="A168" s="219"/>
      <c r="B168" s="219"/>
      <c r="C168" s="220"/>
      <c r="D168" s="220"/>
      <c r="E168" s="220"/>
      <c r="F168" s="220"/>
      <c r="G168" s="220"/>
      <c r="H168" s="220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</row>
    <row r="169" spans="1:29" ht="15.75" customHeight="1" x14ac:dyDescent="0.25">
      <c r="A169" s="219"/>
      <c r="B169" s="219"/>
      <c r="C169" s="220"/>
      <c r="D169" s="220"/>
      <c r="E169" s="220"/>
      <c r="F169" s="220"/>
      <c r="G169" s="220"/>
      <c r="H169" s="220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</row>
    <row r="170" spans="1:29" ht="15.75" customHeight="1" x14ac:dyDescent="0.25">
      <c r="A170" s="219"/>
      <c r="B170" s="219"/>
      <c r="C170" s="220"/>
      <c r="D170" s="220"/>
      <c r="E170" s="220"/>
      <c r="F170" s="220"/>
      <c r="G170" s="220"/>
      <c r="H170" s="220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</row>
    <row r="171" spans="1:29" ht="15.75" customHeight="1" x14ac:dyDescent="0.25">
      <c r="A171" s="219"/>
      <c r="B171" s="219"/>
      <c r="C171" s="220"/>
      <c r="D171" s="220"/>
      <c r="E171" s="220"/>
      <c r="F171" s="220"/>
      <c r="G171" s="220"/>
      <c r="H171" s="220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</row>
    <row r="172" spans="1:29" ht="15.75" customHeight="1" x14ac:dyDescent="0.25">
      <c r="A172" s="219"/>
      <c r="B172" s="219"/>
      <c r="C172" s="220"/>
      <c r="D172" s="220"/>
      <c r="E172" s="220"/>
      <c r="F172" s="220"/>
      <c r="G172" s="220"/>
      <c r="H172" s="220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</row>
    <row r="173" spans="1:29" ht="15.75" customHeight="1" x14ac:dyDescent="0.25">
      <c r="A173" s="219"/>
      <c r="B173" s="219"/>
      <c r="C173" s="220"/>
      <c r="D173" s="220"/>
      <c r="E173" s="220"/>
      <c r="F173" s="220"/>
      <c r="G173" s="220"/>
      <c r="H173" s="220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</row>
    <row r="174" spans="1:29" ht="15.75" customHeight="1" x14ac:dyDescent="0.25">
      <c r="A174" s="219"/>
      <c r="B174" s="219"/>
      <c r="C174" s="220"/>
      <c r="D174" s="220"/>
      <c r="E174" s="220"/>
      <c r="F174" s="220"/>
      <c r="G174" s="220"/>
      <c r="H174" s="220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</row>
    <row r="175" spans="1:29" ht="15.75" customHeight="1" x14ac:dyDescent="0.25">
      <c r="A175" s="219"/>
      <c r="B175" s="219"/>
      <c r="C175" s="220"/>
      <c r="D175" s="220"/>
      <c r="E175" s="220"/>
      <c r="F175" s="220"/>
      <c r="G175" s="220"/>
      <c r="H175" s="220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</row>
    <row r="176" spans="1:29" ht="15.75" customHeight="1" x14ac:dyDescent="0.25">
      <c r="A176" s="219"/>
      <c r="B176" s="219"/>
      <c r="C176" s="220"/>
      <c r="D176" s="220"/>
      <c r="E176" s="220"/>
      <c r="F176" s="220"/>
      <c r="G176" s="220"/>
      <c r="H176" s="220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</row>
    <row r="177" spans="1:29" ht="15.75" customHeight="1" x14ac:dyDescent="0.25">
      <c r="A177" s="219"/>
      <c r="B177" s="219"/>
      <c r="C177" s="220"/>
      <c r="D177" s="220"/>
      <c r="E177" s="220"/>
      <c r="F177" s="220"/>
      <c r="G177" s="220"/>
      <c r="H177" s="220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</row>
    <row r="178" spans="1:29" ht="15.75" customHeight="1" x14ac:dyDescent="0.25">
      <c r="A178" s="219"/>
      <c r="B178" s="219"/>
      <c r="C178" s="220"/>
      <c r="D178" s="220"/>
      <c r="E178" s="220"/>
      <c r="F178" s="220"/>
      <c r="G178" s="220"/>
      <c r="H178" s="220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</row>
    <row r="179" spans="1:29" ht="15.75" customHeight="1" x14ac:dyDescent="0.25">
      <c r="A179" s="219"/>
      <c r="B179" s="219"/>
      <c r="C179" s="220"/>
      <c r="D179" s="220"/>
      <c r="E179" s="220"/>
      <c r="F179" s="220"/>
      <c r="G179" s="220"/>
      <c r="H179" s="220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</row>
    <row r="180" spans="1:29" ht="15.75" customHeight="1" x14ac:dyDescent="0.25">
      <c r="A180" s="219"/>
      <c r="B180" s="219"/>
      <c r="C180" s="220"/>
      <c r="D180" s="220"/>
      <c r="E180" s="220"/>
      <c r="F180" s="220"/>
      <c r="G180" s="220"/>
      <c r="H180" s="220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</row>
    <row r="181" spans="1:29" ht="15.75" customHeight="1" x14ac:dyDescent="0.25">
      <c r="A181" s="219"/>
      <c r="B181" s="219"/>
      <c r="C181" s="220"/>
      <c r="D181" s="220"/>
      <c r="E181" s="220"/>
      <c r="F181" s="220"/>
      <c r="G181" s="220"/>
      <c r="H181" s="220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</row>
    <row r="182" spans="1:29" ht="15.75" customHeight="1" x14ac:dyDescent="0.25">
      <c r="A182" s="219"/>
      <c r="B182" s="219"/>
      <c r="C182" s="220"/>
      <c r="D182" s="220"/>
      <c r="E182" s="220"/>
      <c r="F182" s="220"/>
      <c r="G182" s="220"/>
      <c r="H182" s="220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</row>
    <row r="183" spans="1:29" ht="15.75" customHeight="1" x14ac:dyDescent="0.25">
      <c r="A183" s="219"/>
      <c r="B183" s="219"/>
      <c r="C183" s="220"/>
      <c r="D183" s="220"/>
      <c r="E183" s="220"/>
      <c r="F183" s="220"/>
      <c r="G183" s="220"/>
      <c r="H183" s="220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</row>
    <row r="184" spans="1:29" ht="15.75" customHeight="1" x14ac:dyDescent="0.25">
      <c r="A184" s="219"/>
      <c r="B184" s="219"/>
      <c r="C184" s="220"/>
      <c r="D184" s="220"/>
      <c r="E184" s="220"/>
      <c r="F184" s="220"/>
      <c r="G184" s="220"/>
      <c r="H184" s="220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</row>
    <row r="185" spans="1:29" ht="15.75" customHeight="1" x14ac:dyDescent="0.25">
      <c r="A185" s="219"/>
      <c r="B185" s="219"/>
      <c r="C185" s="220"/>
      <c r="D185" s="220"/>
      <c r="E185" s="220"/>
      <c r="F185" s="220"/>
      <c r="G185" s="220"/>
      <c r="H185" s="220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</row>
    <row r="186" spans="1:29" ht="15.75" customHeight="1" x14ac:dyDescent="0.25">
      <c r="A186" s="219"/>
      <c r="B186" s="219"/>
      <c r="C186" s="220"/>
      <c r="D186" s="220"/>
      <c r="E186" s="220"/>
      <c r="F186" s="220"/>
      <c r="G186" s="220"/>
      <c r="H186" s="220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</row>
    <row r="187" spans="1:29" ht="15.75" customHeight="1" x14ac:dyDescent="0.25">
      <c r="A187" s="219"/>
      <c r="B187" s="219"/>
      <c r="C187" s="220"/>
      <c r="D187" s="220"/>
      <c r="E187" s="220"/>
      <c r="F187" s="220"/>
      <c r="G187" s="220"/>
      <c r="H187" s="220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</row>
    <row r="188" spans="1:29" ht="15.75" customHeight="1" x14ac:dyDescent="0.25">
      <c r="A188" s="219"/>
      <c r="B188" s="219"/>
      <c r="C188" s="220"/>
      <c r="D188" s="220"/>
      <c r="E188" s="220"/>
      <c r="F188" s="220"/>
      <c r="G188" s="220"/>
      <c r="H188" s="220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</row>
    <row r="189" spans="1:29" ht="15.75" customHeight="1" x14ac:dyDescent="0.25">
      <c r="A189" s="219"/>
      <c r="B189" s="219"/>
      <c r="C189" s="220"/>
      <c r="D189" s="220"/>
      <c r="E189" s="220"/>
      <c r="F189" s="220"/>
      <c r="G189" s="220"/>
      <c r="H189" s="220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</row>
    <row r="190" spans="1:29" ht="15.75" customHeight="1" x14ac:dyDescent="0.25">
      <c r="A190" s="219"/>
      <c r="B190" s="219"/>
      <c r="C190" s="220"/>
      <c r="D190" s="220"/>
      <c r="E190" s="220"/>
      <c r="F190" s="220"/>
      <c r="G190" s="220"/>
      <c r="H190" s="220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</row>
    <row r="191" spans="1:29" ht="15.75" customHeight="1" x14ac:dyDescent="0.25">
      <c r="A191" s="219"/>
      <c r="B191" s="219"/>
      <c r="C191" s="220"/>
      <c r="D191" s="220"/>
      <c r="E191" s="220"/>
      <c r="F191" s="220"/>
      <c r="G191" s="220"/>
      <c r="H191" s="220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</row>
    <row r="192" spans="1:29" ht="15.75" customHeight="1" x14ac:dyDescent="0.25">
      <c r="A192" s="219"/>
      <c r="B192" s="219"/>
      <c r="C192" s="220"/>
      <c r="D192" s="220"/>
      <c r="E192" s="220"/>
      <c r="F192" s="220"/>
      <c r="G192" s="220"/>
      <c r="H192" s="220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</row>
    <row r="193" spans="1:29" ht="15.75" customHeight="1" x14ac:dyDescent="0.25">
      <c r="A193" s="219"/>
      <c r="B193" s="219"/>
      <c r="C193" s="220"/>
      <c r="D193" s="220"/>
      <c r="E193" s="220"/>
      <c r="F193" s="220"/>
      <c r="G193" s="220"/>
      <c r="H193" s="220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</row>
    <row r="194" spans="1:29" ht="15.75" customHeight="1" x14ac:dyDescent="0.25">
      <c r="A194" s="219"/>
      <c r="B194" s="219"/>
      <c r="C194" s="220"/>
      <c r="D194" s="220"/>
      <c r="E194" s="220"/>
      <c r="F194" s="220"/>
      <c r="G194" s="220"/>
      <c r="H194" s="220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</row>
    <row r="195" spans="1:29" ht="15.75" customHeight="1" x14ac:dyDescent="0.25">
      <c r="A195" s="219"/>
      <c r="B195" s="219"/>
      <c r="C195" s="220"/>
      <c r="D195" s="220"/>
      <c r="E195" s="220"/>
      <c r="F195" s="220"/>
      <c r="G195" s="220"/>
      <c r="H195" s="220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</row>
    <row r="196" spans="1:29" ht="15.75" customHeight="1" x14ac:dyDescent="0.25">
      <c r="A196" s="219"/>
      <c r="B196" s="219"/>
      <c r="C196" s="220"/>
      <c r="D196" s="220"/>
      <c r="E196" s="220"/>
      <c r="F196" s="220"/>
      <c r="G196" s="220"/>
      <c r="H196" s="220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</row>
    <row r="197" spans="1:29" ht="15.75" customHeight="1" x14ac:dyDescent="0.25">
      <c r="A197" s="219"/>
      <c r="B197" s="219"/>
      <c r="C197" s="220"/>
      <c r="D197" s="220"/>
      <c r="E197" s="220"/>
      <c r="F197" s="220"/>
      <c r="G197" s="220"/>
      <c r="H197" s="220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</row>
    <row r="198" spans="1:29" ht="15.75" customHeight="1" x14ac:dyDescent="0.25">
      <c r="A198" s="219"/>
      <c r="B198" s="219"/>
      <c r="C198" s="220"/>
      <c r="D198" s="220"/>
      <c r="E198" s="220"/>
      <c r="F198" s="220"/>
      <c r="G198" s="220"/>
      <c r="H198" s="220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</row>
    <row r="199" spans="1:29" ht="15.75" customHeight="1" x14ac:dyDescent="0.25">
      <c r="A199" s="219"/>
      <c r="B199" s="219"/>
      <c r="C199" s="220"/>
      <c r="D199" s="220"/>
      <c r="E199" s="220"/>
      <c r="F199" s="220"/>
      <c r="G199" s="220"/>
      <c r="H199" s="220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</row>
    <row r="200" spans="1:29" ht="15.75" customHeight="1" x14ac:dyDescent="0.25">
      <c r="A200" s="219"/>
      <c r="B200" s="219"/>
      <c r="C200" s="220"/>
      <c r="D200" s="220"/>
      <c r="E200" s="220"/>
      <c r="F200" s="220"/>
      <c r="G200" s="220"/>
      <c r="H200" s="220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</row>
    <row r="201" spans="1:29" ht="15.75" customHeight="1" x14ac:dyDescent="0.25">
      <c r="A201" s="219"/>
      <c r="B201" s="219"/>
      <c r="C201" s="220"/>
      <c r="D201" s="220"/>
      <c r="E201" s="220"/>
      <c r="F201" s="220"/>
      <c r="G201" s="220"/>
      <c r="H201" s="220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</row>
    <row r="202" spans="1:29" ht="15.75" customHeight="1" x14ac:dyDescent="0.25">
      <c r="A202" s="219"/>
      <c r="B202" s="219"/>
      <c r="C202" s="220"/>
      <c r="D202" s="220"/>
      <c r="E202" s="220"/>
      <c r="F202" s="220"/>
      <c r="G202" s="220"/>
      <c r="H202" s="220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</row>
    <row r="203" spans="1:29" ht="15.75" customHeight="1" x14ac:dyDescent="0.25">
      <c r="A203" s="219"/>
      <c r="B203" s="219"/>
      <c r="C203" s="220"/>
      <c r="D203" s="220"/>
      <c r="E203" s="220"/>
      <c r="F203" s="220"/>
      <c r="G203" s="220"/>
      <c r="H203" s="220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</row>
    <row r="204" spans="1:29" ht="15.75" customHeight="1" x14ac:dyDescent="0.25">
      <c r="A204" s="219"/>
      <c r="B204" s="219"/>
      <c r="C204" s="220"/>
      <c r="D204" s="220"/>
      <c r="E204" s="220"/>
      <c r="F204" s="220"/>
      <c r="G204" s="220"/>
      <c r="H204" s="220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</row>
    <row r="205" spans="1:29" ht="15.75" customHeight="1" x14ac:dyDescent="0.25">
      <c r="A205" s="219"/>
      <c r="B205" s="219"/>
      <c r="C205" s="220"/>
      <c r="D205" s="220"/>
      <c r="E205" s="220"/>
      <c r="F205" s="220"/>
      <c r="G205" s="220"/>
      <c r="H205" s="220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</row>
    <row r="206" spans="1:29" ht="15.75" customHeight="1" x14ac:dyDescent="0.25">
      <c r="A206" s="219"/>
      <c r="B206" s="219"/>
      <c r="C206" s="220"/>
      <c r="D206" s="220"/>
      <c r="E206" s="220"/>
      <c r="F206" s="220"/>
      <c r="G206" s="220"/>
      <c r="H206" s="220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</row>
    <row r="207" spans="1:29" ht="15.75" customHeight="1" x14ac:dyDescent="0.25">
      <c r="A207" s="219"/>
      <c r="B207" s="219"/>
      <c r="C207" s="220"/>
      <c r="D207" s="220"/>
      <c r="E207" s="220"/>
      <c r="F207" s="220"/>
      <c r="G207" s="220"/>
      <c r="H207" s="220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</row>
    <row r="208" spans="1:29" ht="15.75" customHeight="1" x14ac:dyDescent="0.25">
      <c r="A208" s="219"/>
      <c r="B208" s="219"/>
      <c r="C208" s="220"/>
      <c r="D208" s="220"/>
      <c r="E208" s="220"/>
      <c r="F208" s="220"/>
      <c r="G208" s="220"/>
      <c r="H208" s="220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</row>
    <row r="209" spans="1:29" ht="15.75" customHeight="1" x14ac:dyDescent="0.25">
      <c r="A209" s="219"/>
      <c r="B209" s="219"/>
      <c r="C209" s="220"/>
      <c r="D209" s="220"/>
      <c r="E209" s="220"/>
      <c r="F209" s="220"/>
      <c r="G209" s="220"/>
      <c r="H209" s="220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</row>
    <row r="210" spans="1:29" ht="15.75" customHeight="1" x14ac:dyDescent="0.25">
      <c r="A210" s="219"/>
      <c r="B210" s="219"/>
      <c r="C210" s="220"/>
      <c r="D210" s="220"/>
      <c r="E210" s="220"/>
      <c r="F210" s="220"/>
      <c r="G210" s="220"/>
      <c r="H210" s="220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</row>
    <row r="211" spans="1:29" ht="15.75" customHeight="1" x14ac:dyDescent="0.25">
      <c r="A211" s="219"/>
      <c r="B211" s="219"/>
      <c r="C211" s="220"/>
      <c r="D211" s="220"/>
      <c r="E211" s="220"/>
      <c r="F211" s="220"/>
      <c r="G211" s="220"/>
      <c r="H211" s="220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</row>
    <row r="212" spans="1:29" ht="15.75" customHeight="1" x14ac:dyDescent="0.25">
      <c r="A212" s="219"/>
      <c r="B212" s="219"/>
      <c r="C212" s="220"/>
      <c r="D212" s="220"/>
      <c r="E212" s="220"/>
      <c r="F212" s="220"/>
      <c r="G212" s="220"/>
      <c r="H212" s="220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</row>
    <row r="213" spans="1:29" ht="15.75" customHeight="1" x14ac:dyDescent="0.25">
      <c r="A213" s="219"/>
      <c r="B213" s="219"/>
      <c r="C213" s="220"/>
      <c r="D213" s="220"/>
      <c r="E213" s="220"/>
      <c r="F213" s="220"/>
      <c r="G213" s="220"/>
      <c r="H213" s="220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</row>
    <row r="214" spans="1:29" ht="15.75" customHeight="1" x14ac:dyDescent="0.25">
      <c r="A214" s="219"/>
      <c r="B214" s="219"/>
      <c r="C214" s="220"/>
      <c r="D214" s="220"/>
      <c r="E214" s="220"/>
      <c r="F214" s="220"/>
      <c r="G214" s="220"/>
      <c r="H214" s="220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</row>
    <row r="215" spans="1:29" ht="15.75" customHeight="1" x14ac:dyDescent="0.25">
      <c r="A215" s="219"/>
      <c r="B215" s="219"/>
      <c r="C215" s="220"/>
      <c r="D215" s="220"/>
      <c r="E215" s="220"/>
      <c r="F215" s="220"/>
      <c r="G215" s="220"/>
      <c r="H215" s="220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</row>
    <row r="216" spans="1:29" ht="15.75" customHeight="1" x14ac:dyDescent="0.25">
      <c r="A216" s="219"/>
      <c r="B216" s="219"/>
      <c r="C216" s="220"/>
      <c r="D216" s="220"/>
      <c r="E216" s="220"/>
      <c r="F216" s="220"/>
      <c r="G216" s="220"/>
      <c r="H216" s="220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</row>
    <row r="217" spans="1:29" ht="15.75" customHeight="1" x14ac:dyDescent="0.25">
      <c r="A217" s="219"/>
      <c r="B217" s="219"/>
      <c r="C217" s="220"/>
      <c r="D217" s="220"/>
      <c r="E217" s="220"/>
      <c r="F217" s="220"/>
      <c r="G217" s="220"/>
      <c r="H217" s="220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</row>
    <row r="218" spans="1:29" ht="15.75" customHeight="1" x14ac:dyDescent="0.25">
      <c r="A218" s="219"/>
      <c r="B218" s="219"/>
      <c r="C218" s="220"/>
      <c r="D218" s="220"/>
      <c r="E218" s="220"/>
      <c r="F218" s="220"/>
      <c r="G218" s="220"/>
      <c r="H218" s="220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</row>
    <row r="219" spans="1:29" ht="15.75" customHeight="1" x14ac:dyDescent="0.25">
      <c r="A219" s="219"/>
      <c r="B219" s="219"/>
      <c r="C219" s="220"/>
      <c r="D219" s="220"/>
      <c r="E219" s="220"/>
      <c r="F219" s="220"/>
      <c r="G219" s="220"/>
      <c r="H219" s="220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</row>
    <row r="220" spans="1:29" ht="15.75" customHeight="1" x14ac:dyDescent="0.25">
      <c r="A220" s="219"/>
      <c r="B220" s="219"/>
      <c r="C220" s="220"/>
      <c r="D220" s="220"/>
      <c r="E220" s="220"/>
      <c r="F220" s="220"/>
      <c r="G220" s="220"/>
      <c r="H220" s="220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</row>
    <row r="221" spans="1:29" ht="15.75" customHeight="1" x14ac:dyDescent="0.25">
      <c r="A221" s="219"/>
      <c r="B221" s="219"/>
      <c r="C221" s="220"/>
      <c r="D221" s="220"/>
      <c r="E221" s="220"/>
      <c r="F221" s="220"/>
      <c r="G221" s="220"/>
      <c r="H221" s="220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</row>
    <row r="222" spans="1:29" ht="15.75" customHeight="1" x14ac:dyDescent="0.25">
      <c r="A222" s="219"/>
      <c r="B222" s="219"/>
      <c r="C222" s="220"/>
      <c r="D222" s="220"/>
      <c r="E222" s="220"/>
      <c r="F222" s="220"/>
      <c r="G222" s="220"/>
      <c r="H222" s="220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</row>
    <row r="223" spans="1:29" ht="15.75" customHeight="1" x14ac:dyDescent="0.25">
      <c r="A223" s="219"/>
      <c r="B223" s="219"/>
      <c r="C223" s="220"/>
      <c r="D223" s="220"/>
      <c r="E223" s="220"/>
      <c r="F223" s="220"/>
      <c r="G223" s="220"/>
      <c r="H223" s="220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</row>
    <row r="224" spans="1:29" ht="15.75" customHeight="1" x14ac:dyDescent="0.25">
      <c r="A224" s="219"/>
      <c r="B224" s="219"/>
      <c r="C224" s="220"/>
      <c r="D224" s="220"/>
      <c r="E224" s="220"/>
      <c r="F224" s="220"/>
      <c r="G224" s="220"/>
      <c r="H224" s="220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</row>
    <row r="225" spans="1:29" ht="15.75" customHeight="1" x14ac:dyDescent="0.25">
      <c r="A225" s="219"/>
      <c r="B225" s="219"/>
      <c r="C225" s="220"/>
      <c r="D225" s="220"/>
      <c r="E225" s="220"/>
      <c r="F225" s="220"/>
      <c r="G225" s="220"/>
      <c r="H225" s="220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</row>
    <row r="226" spans="1:29" ht="15.75" customHeight="1" x14ac:dyDescent="0.25">
      <c r="A226" s="219"/>
      <c r="B226" s="219"/>
      <c r="C226" s="220"/>
      <c r="D226" s="220"/>
      <c r="E226" s="220"/>
      <c r="F226" s="220"/>
      <c r="G226" s="220"/>
      <c r="H226" s="220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</row>
    <row r="227" spans="1:29" ht="15.75" customHeight="1" x14ac:dyDescent="0.25">
      <c r="A227" s="219"/>
      <c r="B227" s="219"/>
      <c r="C227" s="220"/>
      <c r="D227" s="220"/>
      <c r="E227" s="220"/>
      <c r="F227" s="220"/>
      <c r="G227" s="220"/>
      <c r="H227" s="220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</row>
    <row r="228" spans="1:29" ht="15.75" customHeight="1" x14ac:dyDescent="0.25">
      <c r="A228" s="219"/>
      <c r="B228" s="219"/>
      <c r="C228" s="220"/>
      <c r="D228" s="220"/>
      <c r="E228" s="220"/>
      <c r="F228" s="220"/>
      <c r="G228" s="220"/>
      <c r="H228" s="220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</row>
    <row r="229" spans="1:29" ht="15.75" customHeight="1" x14ac:dyDescent="0.25">
      <c r="A229" s="219"/>
      <c r="B229" s="219"/>
      <c r="C229" s="220"/>
      <c r="D229" s="220"/>
      <c r="E229" s="220"/>
      <c r="F229" s="220"/>
      <c r="G229" s="220"/>
      <c r="H229" s="220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</row>
    <row r="230" spans="1:29" ht="15.75" customHeight="1" x14ac:dyDescent="0.25">
      <c r="A230" s="219"/>
      <c r="B230" s="219"/>
      <c r="C230" s="220"/>
      <c r="D230" s="220"/>
      <c r="E230" s="220"/>
      <c r="F230" s="220"/>
      <c r="G230" s="220"/>
      <c r="H230" s="220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</row>
    <row r="231" spans="1:29" ht="15.75" customHeight="1" x14ac:dyDescent="0.25">
      <c r="A231" s="219"/>
      <c r="B231" s="219"/>
      <c r="C231" s="220"/>
      <c r="D231" s="220"/>
      <c r="E231" s="220"/>
      <c r="F231" s="220"/>
      <c r="G231" s="220"/>
      <c r="H231" s="220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</row>
    <row r="232" spans="1:29" ht="15.75" customHeight="1" x14ac:dyDescent="0.25">
      <c r="A232" s="219"/>
      <c r="B232" s="219"/>
      <c r="C232" s="220"/>
      <c r="D232" s="220"/>
      <c r="E232" s="220"/>
      <c r="F232" s="220"/>
      <c r="G232" s="220"/>
      <c r="H232" s="220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</row>
    <row r="233" spans="1:29" ht="15.75" customHeight="1" x14ac:dyDescent="0.25">
      <c r="A233" s="219"/>
      <c r="B233" s="219"/>
      <c r="C233" s="220"/>
      <c r="D233" s="220"/>
      <c r="E233" s="220"/>
      <c r="F233" s="220"/>
      <c r="G233" s="220"/>
      <c r="H233" s="220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</row>
    <row r="234" spans="1:29" ht="15.75" customHeight="1" x14ac:dyDescent="0.25">
      <c r="A234" s="219"/>
      <c r="B234" s="219"/>
      <c r="C234" s="220"/>
      <c r="D234" s="220"/>
      <c r="E234" s="220"/>
      <c r="F234" s="220"/>
      <c r="G234" s="220"/>
      <c r="H234" s="220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</row>
    <row r="235" spans="1:29" ht="15.75" customHeight="1" x14ac:dyDescent="0.25">
      <c r="A235" s="219"/>
      <c r="B235" s="219"/>
      <c r="C235" s="220"/>
      <c r="D235" s="220"/>
      <c r="E235" s="220"/>
      <c r="F235" s="220"/>
      <c r="G235" s="220"/>
      <c r="H235" s="220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</row>
    <row r="236" spans="1:29" ht="15.75" customHeight="1" x14ac:dyDescent="0.25">
      <c r="A236" s="219"/>
      <c r="B236" s="219"/>
      <c r="C236" s="220"/>
      <c r="D236" s="220"/>
      <c r="E236" s="220"/>
      <c r="F236" s="220"/>
      <c r="G236" s="220"/>
      <c r="H236" s="220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</row>
    <row r="237" spans="1:29" ht="15.75" customHeight="1" x14ac:dyDescent="0.25">
      <c r="A237" s="219"/>
      <c r="B237" s="219"/>
      <c r="C237" s="220"/>
      <c r="D237" s="220"/>
      <c r="E237" s="220"/>
      <c r="F237" s="220"/>
      <c r="G237" s="220"/>
      <c r="H237" s="220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</row>
    <row r="238" spans="1:29" ht="15.75" customHeight="1" x14ac:dyDescent="0.25">
      <c r="A238" s="219"/>
      <c r="B238" s="219"/>
      <c r="C238" s="220"/>
      <c r="D238" s="220"/>
      <c r="E238" s="220"/>
      <c r="F238" s="220"/>
      <c r="G238" s="220"/>
      <c r="H238" s="220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</row>
    <row r="239" spans="1:29" ht="15.75" customHeight="1" x14ac:dyDescent="0.25">
      <c r="A239" s="219"/>
      <c r="B239" s="219"/>
      <c r="C239" s="220"/>
      <c r="D239" s="220"/>
      <c r="E239" s="220"/>
      <c r="F239" s="220"/>
      <c r="G239" s="220"/>
      <c r="H239" s="220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</row>
    <row r="240" spans="1:29" ht="15.75" customHeight="1" x14ac:dyDescent="0.25">
      <c r="A240" s="219"/>
      <c r="B240" s="219"/>
      <c r="C240" s="220"/>
      <c r="D240" s="220"/>
      <c r="E240" s="220"/>
      <c r="F240" s="220"/>
      <c r="G240" s="220"/>
      <c r="H240" s="220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</row>
    <row r="241" spans="1:29" ht="15.75" customHeight="1" x14ac:dyDescent="0.25">
      <c r="A241" s="219"/>
      <c r="B241" s="219"/>
      <c r="C241" s="220"/>
      <c r="D241" s="220"/>
      <c r="E241" s="220"/>
      <c r="F241" s="220"/>
      <c r="G241" s="220"/>
      <c r="H241" s="220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</row>
    <row r="242" spans="1:29" ht="15.75" customHeight="1" x14ac:dyDescent="0.25">
      <c r="A242" s="219"/>
      <c r="B242" s="219"/>
      <c r="C242" s="220"/>
      <c r="D242" s="220"/>
      <c r="E242" s="220"/>
      <c r="F242" s="220"/>
      <c r="G242" s="220"/>
      <c r="H242" s="220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</row>
    <row r="243" spans="1:29" ht="15.75" customHeight="1" x14ac:dyDescent="0.25">
      <c r="A243" s="219"/>
      <c r="B243" s="219"/>
      <c r="C243" s="220"/>
      <c r="D243" s="220"/>
      <c r="E243" s="220"/>
      <c r="F243" s="220"/>
      <c r="G243" s="220"/>
      <c r="H243" s="220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</row>
    <row r="244" spans="1:29" ht="15.75" customHeight="1" x14ac:dyDescent="0.25">
      <c r="A244" s="219"/>
      <c r="B244" s="219"/>
      <c r="C244" s="220"/>
      <c r="D244" s="220"/>
      <c r="E244" s="220"/>
      <c r="F244" s="220"/>
      <c r="G244" s="220"/>
      <c r="H244" s="220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</row>
    <row r="245" spans="1:29" ht="15.75" customHeight="1" x14ac:dyDescent="0.25">
      <c r="A245" s="219"/>
      <c r="B245" s="219"/>
      <c r="C245" s="220"/>
      <c r="D245" s="220"/>
      <c r="E245" s="220"/>
      <c r="F245" s="220"/>
      <c r="G245" s="220"/>
      <c r="H245" s="220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</row>
    <row r="246" spans="1:29" ht="15.75" customHeight="1" x14ac:dyDescent="0.25">
      <c r="A246" s="219"/>
      <c r="B246" s="219"/>
      <c r="C246" s="220"/>
      <c r="D246" s="220"/>
      <c r="E246" s="220"/>
      <c r="F246" s="220"/>
      <c r="G246" s="220"/>
      <c r="H246" s="220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</row>
    <row r="247" spans="1:29" ht="15.75" customHeight="1" x14ac:dyDescent="0.25">
      <c r="A247" s="219"/>
      <c r="B247" s="219"/>
      <c r="C247" s="220"/>
      <c r="D247" s="220"/>
      <c r="E247" s="220"/>
      <c r="F247" s="220"/>
      <c r="G247" s="220"/>
      <c r="H247" s="220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</row>
    <row r="248" spans="1:29" ht="15.75" customHeight="1" x14ac:dyDescent="0.25">
      <c r="A248" s="219"/>
      <c r="B248" s="219"/>
      <c r="C248" s="220"/>
      <c r="D248" s="220"/>
      <c r="E248" s="220"/>
      <c r="F248" s="220"/>
      <c r="G248" s="220"/>
      <c r="H248" s="220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</row>
    <row r="249" spans="1:29" ht="15.75" customHeight="1" x14ac:dyDescent="0.25">
      <c r="A249" s="219"/>
      <c r="B249" s="219"/>
      <c r="C249" s="220"/>
      <c r="D249" s="220"/>
      <c r="E249" s="220"/>
      <c r="F249" s="220"/>
      <c r="G249" s="220"/>
      <c r="H249" s="220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</row>
    <row r="250" spans="1:29" ht="15.75" customHeight="1" x14ac:dyDescent="0.25">
      <c r="A250" s="219"/>
      <c r="B250" s="219"/>
      <c r="C250" s="220"/>
      <c r="D250" s="220"/>
      <c r="E250" s="220"/>
      <c r="F250" s="220"/>
      <c r="G250" s="220"/>
      <c r="H250" s="220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</row>
    <row r="251" spans="1:29" ht="15.75" customHeight="1" x14ac:dyDescent="0.25">
      <c r="A251" s="219"/>
      <c r="B251" s="219"/>
      <c r="C251" s="220"/>
      <c r="D251" s="220"/>
      <c r="E251" s="220"/>
      <c r="F251" s="220"/>
      <c r="G251" s="220"/>
      <c r="H251" s="220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</row>
    <row r="252" spans="1:29" ht="15.75" customHeight="1" x14ac:dyDescent="0.25">
      <c r="A252" s="219"/>
      <c r="B252" s="219"/>
      <c r="C252" s="220"/>
      <c r="D252" s="220"/>
      <c r="E252" s="220"/>
      <c r="F252" s="220"/>
      <c r="G252" s="220"/>
      <c r="H252" s="220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</row>
    <row r="253" spans="1:29" ht="15.75" customHeight="1" x14ac:dyDescent="0.25">
      <c r="A253" s="219"/>
      <c r="B253" s="219"/>
      <c r="C253" s="220"/>
      <c r="D253" s="220"/>
      <c r="E253" s="220"/>
      <c r="F253" s="220"/>
      <c r="G253" s="220"/>
      <c r="H253" s="220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</row>
    <row r="254" spans="1:29" ht="15.75" customHeight="1" x14ac:dyDescent="0.25">
      <c r="A254" s="219"/>
      <c r="B254" s="219"/>
      <c r="C254" s="220"/>
      <c r="D254" s="220"/>
      <c r="E254" s="220"/>
      <c r="F254" s="220"/>
      <c r="G254" s="220"/>
      <c r="H254" s="220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</row>
    <row r="255" spans="1:29" ht="15.75" customHeight="1" x14ac:dyDescent="0.25">
      <c r="A255" s="219"/>
      <c r="B255" s="219"/>
      <c r="C255" s="220"/>
      <c r="D255" s="220"/>
      <c r="E255" s="220"/>
      <c r="F255" s="220"/>
      <c r="G255" s="220"/>
      <c r="H255" s="220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</row>
    <row r="256" spans="1:29" ht="15.75" customHeight="1" x14ac:dyDescent="0.25">
      <c r="A256" s="219"/>
      <c r="B256" s="219"/>
      <c r="C256" s="220"/>
      <c r="D256" s="220"/>
      <c r="E256" s="220"/>
      <c r="F256" s="220"/>
      <c r="G256" s="220"/>
      <c r="H256" s="220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</row>
    <row r="257" spans="1:29" ht="15.75" customHeight="1" x14ac:dyDescent="0.25">
      <c r="A257" s="219"/>
      <c r="B257" s="219"/>
      <c r="C257" s="220"/>
      <c r="D257" s="220"/>
      <c r="E257" s="220"/>
      <c r="F257" s="220"/>
      <c r="G257" s="220"/>
      <c r="H257" s="220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</row>
    <row r="258" spans="1:29" ht="15.75" customHeight="1" x14ac:dyDescent="0.25">
      <c r="A258" s="219"/>
      <c r="B258" s="219"/>
      <c r="C258" s="220"/>
      <c r="D258" s="220"/>
      <c r="E258" s="220"/>
      <c r="F258" s="220"/>
      <c r="G258" s="220"/>
      <c r="H258" s="220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</row>
    <row r="259" spans="1:29" ht="15.75" customHeight="1" x14ac:dyDescent="0.25">
      <c r="A259" s="219"/>
      <c r="B259" s="219"/>
      <c r="C259" s="220"/>
      <c r="D259" s="220"/>
      <c r="E259" s="220"/>
      <c r="F259" s="220"/>
      <c r="G259" s="220"/>
      <c r="H259" s="220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</row>
    <row r="260" spans="1:29" ht="15.75" customHeight="1" x14ac:dyDescent="0.25">
      <c r="A260" s="219"/>
      <c r="B260" s="219"/>
      <c r="C260" s="220"/>
      <c r="D260" s="220"/>
      <c r="E260" s="220"/>
      <c r="F260" s="220"/>
      <c r="G260" s="220"/>
      <c r="H260" s="220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</row>
    <row r="261" spans="1:29" ht="15.75" customHeight="1" x14ac:dyDescent="0.25">
      <c r="A261" s="219"/>
      <c r="B261" s="219"/>
      <c r="C261" s="220"/>
      <c r="D261" s="220"/>
      <c r="E261" s="220"/>
      <c r="F261" s="220"/>
      <c r="G261" s="220"/>
      <c r="H261" s="220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</row>
    <row r="262" spans="1:29" ht="15.75" customHeight="1" x14ac:dyDescent="0.25">
      <c r="A262" s="219"/>
      <c r="B262" s="219"/>
      <c r="C262" s="220"/>
      <c r="D262" s="220"/>
      <c r="E262" s="220"/>
      <c r="F262" s="220"/>
      <c r="G262" s="220"/>
      <c r="H262" s="220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</row>
    <row r="263" spans="1:29" ht="15.75" customHeight="1" x14ac:dyDescent="0.25">
      <c r="A263" s="219"/>
      <c r="B263" s="219"/>
      <c r="C263" s="220"/>
      <c r="D263" s="220"/>
      <c r="E263" s="220"/>
      <c r="F263" s="220"/>
      <c r="G263" s="220"/>
      <c r="H263" s="220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</row>
    <row r="264" spans="1:29" ht="15.75" customHeight="1" x14ac:dyDescent="0.25">
      <c r="A264" s="219"/>
      <c r="B264" s="219"/>
      <c r="C264" s="220"/>
      <c r="D264" s="220"/>
      <c r="E264" s="220"/>
      <c r="F264" s="220"/>
      <c r="G264" s="220"/>
      <c r="H264" s="220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</row>
    <row r="265" spans="1:29" ht="15.75" customHeight="1" x14ac:dyDescent="0.25">
      <c r="A265" s="219"/>
      <c r="B265" s="219"/>
      <c r="C265" s="220"/>
      <c r="D265" s="220"/>
      <c r="E265" s="220"/>
      <c r="F265" s="220"/>
      <c r="G265" s="220"/>
      <c r="H265" s="220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</row>
    <row r="266" spans="1:29" ht="15.75" customHeight="1" x14ac:dyDescent="0.25">
      <c r="A266" s="219"/>
      <c r="B266" s="219"/>
      <c r="C266" s="220"/>
      <c r="D266" s="220"/>
      <c r="E266" s="220"/>
      <c r="F266" s="220"/>
      <c r="G266" s="220"/>
      <c r="H266" s="220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</row>
    <row r="267" spans="1:29" ht="15.75" customHeight="1" x14ac:dyDescent="0.25">
      <c r="A267" s="219"/>
      <c r="B267" s="219"/>
      <c r="C267" s="220"/>
      <c r="D267" s="220"/>
      <c r="E267" s="220"/>
      <c r="F267" s="220"/>
      <c r="G267" s="220"/>
      <c r="H267" s="220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</row>
    <row r="268" spans="1:29" ht="15.75" customHeight="1" x14ac:dyDescent="0.25">
      <c r="A268" s="219"/>
      <c r="B268" s="219"/>
      <c r="C268" s="220"/>
      <c r="D268" s="220"/>
      <c r="E268" s="220"/>
      <c r="F268" s="220"/>
      <c r="G268" s="220"/>
      <c r="H268" s="220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</row>
    <row r="269" spans="1:29" ht="15.75" customHeight="1" x14ac:dyDescent="0.25">
      <c r="A269" s="219"/>
      <c r="B269" s="219"/>
      <c r="C269" s="220"/>
      <c r="D269" s="220"/>
      <c r="E269" s="220"/>
      <c r="F269" s="220"/>
      <c r="G269" s="220"/>
      <c r="H269" s="220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</row>
    <row r="270" spans="1:29" ht="15.75" customHeight="1" x14ac:dyDescent="0.25">
      <c r="A270" s="219"/>
      <c r="B270" s="219"/>
      <c r="C270" s="220"/>
      <c r="D270" s="220"/>
      <c r="E270" s="220"/>
      <c r="F270" s="220"/>
      <c r="G270" s="220"/>
      <c r="H270" s="220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</row>
    <row r="271" spans="1:29" ht="15.75" customHeight="1" x14ac:dyDescent="0.25">
      <c r="A271" s="219"/>
      <c r="B271" s="219"/>
      <c r="C271" s="220"/>
      <c r="D271" s="220"/>
      <c r="E271" s="220"/>
      <c r="F271" s="220"/>
      <c r="G271" s="220"/>
      <c r="H271" s="220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</row>
    <row r="272" spans="1:29" ht="15.75" customHeight="1" x14ac:dyDescent="0.25">
      <c r="A272" s="219"/>
      <c r="B272" s="219"/>
      <c r="C272" s="220"/>
      <c r="D272" s="220"/>
      <c r="E272" s="220"/>
      <c r="F272" s="220"/>
      <c r="G272" s="220"/>
      <c r="H272" s="220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  <c r="AB272" s="219"/>
      <c r="AC272" s="219"/>
    </row>
    <row r="273" spans="1:29" ht="15.75" customHeight="1" x14ac:dyDescent="0.25">
      <c r="A273" s="219"/>
      <c r="B273" s="219"/>
      <c r="C273" s="220"/>
      <c r="D273" s="220"/>
      <c r="E273" s="220"/>
      <c r="F273" s="220"/>
      <c r="G273" s="220"/>
      <c r="H273" s="220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19"/>
    </row>
    <row r="274" spans="1:29" ht="15.75" customHeight="1" x14ac:dyDescent="0.25">
      <c r="A274" s="219"/>
      <c r="B274" s="219"/>
      <c r="C274" s="220"/>
      <c r="D274" s="220"/>
      <c r="E274" s="220"/>
      <c r="F274" s="220"/>
      <c r="G274" s="220"/>
      <c r="H274" s="220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</row>
    <row r="275" spans="1:29" ht="15.75" customHeight="1" x14ac:dyDescent="0.25">
      <c r="A275" s="219"/>
      <c r="B275" s="219"/>
      <c r="C275" s="220"/>
      <c r="D275" s="220"/>
      <c r="E275" s="220"/>
      <c r="F275" s="220"/>
      <c r="G275" s="220"/>
      <c r="H275" s="220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19"/>
      <c r="AC275" s="219"/>
    </row>
    <row r="276" spans="1:29" ht="15.75" customHeight="1" x14ac:dyDescent="0.25">
      <c r="A276" s="219"/>
      <c r="B276" s="219"/>
      <c r="C276" s="220"/>
      <c r="D276" s="220"/>
      <c r="E276" s="220"/>
      <c r="F276" s="220"/>
      <c r="G276" s="220"/>
      <c r="H276" s="220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19"/>
    </row>
    <row r="277" spans="1:29" ht="15.75" customHeight="1" x14ac:dyDescent="0.25">
      <c r="A277" s="219"/>
      <c r="B277" s="219"/>
      <c r="C277" s="220"/>
      <c r="D277" s="220"/>
      <c r="E277" s="220"/>
      <c r="F277" s="220"/>
      <c r="G277" s="220"/>
      <c r="H277" s="220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</row>
    <row r="278" spans="1:29" ht="15.75" customHeight="1" x14ac:dyDescent="0.25">
      <c r="A278" s="219"/>
      <c r="B278" s="219"/>
      <c r="C278" s="220"/>
      <c r="D278" s="220"/>
      <c r="E278" s="220"/>
      <c r="F278" s="220"/>
      <c r="G278" s="220"/>
      <c r="H278" s="220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</row>
    <row r="279" spans="1:29" ht="15.75" customHeight="1" x14ac:dyDescent="0.25">
      <c r="A279" s="219"/>
      <c r="B279" s="219"/>
      <c r="C279" s="220"/>
      <c r="D279" s="220"/>
      <c r="E279" s="220"/>
      <c r="F279" s="220"/>
      <c r="G279" s="220"/>
      <c r="H279" s="220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</row>
    <row r="280" spans="1:29" ht="15.75" customHeight="1" x14ac:dyDescent="0.25">
      <c r="A280" s="219"/>
      <c r="B280" s="219"/>
      <c r="C280" s="220"/>
      <c r="D280" s="220"/>
      <c r="E280" s="220"/>
      <c r="F280" s="220"/>
      <c r="G280" s="220"/>
      <c r="H280" s="220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</row>
    <row r="281" spans="1:29" ht="15.75" customHeight="1" x14ac:dyDescent="0.25">
      <c r="A281" s="219"/>
      <c r="B281" s="219"/>
      <c r="C281" s="220"/>
      <c r="D281" s="220"/>
      <c r="E281" s="220"/>
      <c r="F281" s="220"/>
      <c r="G281" s="220"/>
      <c r="H281" s="220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</row>
    <row r="282" spans="1:29" ht="15.75" customHeight="1" x14ac:dyDescent="0.25">
      <c r="A282" s="219"/>
      <c r="B282" s="219"/>
      <c r="C282" s="220"/>
      <c r="D282" s="220"/>
      <c r="E282" s="220"/>
      <c r="F282" s="220"/>
      <c r="G282" s="220"/>
      <c r="H282" s="220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</row>
    <row r="283" spans="1:29" ht="15.75" customHeight="1" x14ac:dyDescent="0.25">
      <c r="A283" s="219"/>
      <c r="B283" s="219"/>
      <c r="C283" s="220"/>
      <c r="D283" s="220"/>
      <c r="E283" s="220"/>
      <c r="F283" s="220"/>
      <c r="G283" s="220"/>
      <c r="H283" s="220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</row>
    <row r="284" spans="1:29" ht="15.75" customHeight="1" x14ac:dyDescent="0.25">
      <c r="A284" s="219"/>
      <c r="B284" s="219"/>
      <c r="C284" s="220"/>
      <c r="D284" s="220"/>
      <c r="E284" s="220"/>
      <c r="F284" s="220"/>
      <c r="G284" s="220"/>
      <c r="H284" s="220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</row>
    <row r="285" spans="1:29" ht="15.75" customHeight="1" x14ac:dyDescent="0.25">
      <c r="A285" s="219"/>
      <c r="B285" s="219"/>
      <c r="C285" s="220"/>
      <c r="D285" s="220"/>
      <c r="E285" s="220"/>
      <c r="F285" s="220"/>
      <c r="G285" s="220"/>
      <c r="H285" s="220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</row>
    <row r="286" spans="1:29" ht="15.75" customHeight="1" x14ac:dyDescent="0.25">
      <c r="A286" s="219"/>
      <c r="B286" s="219"/>
      <c r="C286" s="220"/>
      <c r="D286" s="220"/>
      <c r="E286" s="220"/>
      <c r="F286" s="220"/>
      <c r="G286" s="220"/>
      <c r="H286" s="220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</row>
    <row r="287" spans="1:29" ht="15.75" customHeight="1" x14ac:dyDescent="0.25">
      <c r="A287" s="219"/>
      <c r="B287" s="219"/>
      <c r="C287" s="220"/>
      <c r="D287" s="220"/>
      <c r="E287" s="220"/>
      <c r="F287" s="220"/>
      <c r="G287" s="220"/>
      <c r="H287" s="220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</row>
    <row r="288" spans="1:29" ht="15.75" customHeight="1" x14ac:dyDescent="0.25">
      <c r="A288" s="219"/>
      <c r="B288" s="219"/>
      <c r="C288" s="220"/>
      <c r="D288" s="220"/>
      <c r="E288" s="220"/>
      <c r="F288" s="220"/>
      <c r="G288" s="220"/>
      <c r="H288" s="220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</row>
    <row r="289" spans="1:29" ht="15.75" customHeight="1" x14ac:dyDescent="0.25">
      <c r="A289" s="219"/>
      <c r="B289" s="219"/>
      <c r="C289" s="220"/>
      <c r="D289" s="220"/>
      <c r="E289" s="220"/>
      <c r="F289" s="220"/>
      <c r="G289" s="220"/>
      <c r="H289" s="220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</row>
    <row r="290" spans="1:29" ht="15.75" customHeight="1" x14ac:dyDescent="0.25">
      <c r="A290" s="219"/>
      <c r="B290" s="219"/>
      <c r="C290" s="220"/>
      <c r="D290" s="220"/>
      <c r="E290" s="220"/>
      <c r="F290" s="220"/>
      <c r="G290" s="220"/>
      <c r="H290" s="220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</row>
    <row r="291" spans="1:29" ht="15.75" customHeight="1" x14ac:dyDescent="0.25">
      <c r="A291" s="219"/>
      <c r="B291" s="219"/>
      <c r="C291" s="220"/>
      <c r="D291" s="220"/>
      <c r="E291" s="220"/>
      <c r="F291" s="220"/>
      <c r="G291" s="220"/>
      <c r="H291" s="220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  <c r="AC291" s="219"/>
    </row>
    <row r="292" spans="1:29" ht="15.75" customHeight="1" x14ac:dyDescent="0.25">
      <c r="A292" s="219"/>
      <c r="B292" s="219"/>
      <c r="C292" s="220"/>
      <c r="D292" s="220"/>
      <c r="E292" s="220"/>
      <c r="F292" s="220"/>
      <c r="G292" s="220"/>
      <c r="H292" s="220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</row>
    <row r="293" spans="1:29" ht="15.75" customHeight="1" x14ac:dyDescent="0.25">
      <c r="A293" s="219"/>
      <c r="B293" s="219"/>
      <c r="C293" s="220"/>
      <c r="D293" s="220"/>
      <c r="E293" s="220"/>
      <c r="F293" s="220"/>
      <c r="G293" s="220"/>
      <c r="H293" s="220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</row>
    <row r="294" spans="1:29" ht="15.75" customHeight="1" x14ac:dyDescent="0.25">
      <c r="A294" s="219"/>
      <c r="B294" s="219"/>
      <c r="C294" s="220"/>
      <c r="D294" s="220"/>
      <c r="E294" s="220"/>
      <c r="F294" s="220"/>
      <c r="G294" s="220"/>
      <c r="H294" s="220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19"/>
    </row>
    <row r="295" spans="1:29" ht="15.75" customHeight="1" x14ac:dyDescent="0.25">
      <c r="A295" s="219"/>
      <c r="B295" s="219"/>
      <c r="C295" s="220"/>
      <c r="D295" s="220"/>
      <c r="E295" s="220"/>
      <c r="F295" s="220"/>
      <c r="G295" s="220"/>
      <c r="H295" s="220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</row>
    <row r="296" spans="1:29" ht="15.75" customHeight="1" x14ac:dyDescent="0.25">
      <c r="A296" s="219"/>
      <c r="B296" s="219"/>
      <c r="C296" s="220"/>
      <c r="D296" s="220"/>
      <c r="E296" s="220"/>
      <c r="F296" s="220"/>
      <c r="G296" s="220"/>
      <c r="H296" s="220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</row>
    <row r="297" spans="1:29" ht="15.75" customHeight="1" x14ac:dyDescent="0.25">
      <c r="A297" s="219"/>
      <c r="B297" s="219"/>
      <c r="C297" s="220"/>
      <c r="D297" s="220"/>
      <c r="E297" s="220"/>
      <c r="F297" s="220"/>
      <c r="G297" s="220"/>
      <c r="H297" s="220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  <c r="AC297" s="219"/>
    </row>
    <row r="298" spans="1:29" ht="15.75" customHeight="1" x14ac:dyDescent="0.25">
      <c r="A298" s="219"/>
      <c r="B298" s="219"/>
      <c r="C298" s="220"/>
      <c r="D298" s="220"/>
      <c r="E298" s="220"/>
      <c r="F298" s="220"/>
      <c r="G298" s="220"/>
      <c r="H298" s="220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  <c r="AC298" s="219"/>
    </row>
    <row r="299" spans="1:29" ht="15.75" customHeight="1" x14ac:dyDescent="0.25">
      <c r="A299" s="219"/>
      <c r="B299" s="219"/>
      <c r="C299" s="220"/>
      <c r="D299" s="220"/>
      <c r="E299" s="220"/>
      <c r="F299" s="220"/>
      <c r="G299" s="220"/>
      <c r="H299" s="220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</row>
    <row r="300" spans="1:29" ht="15.75" customHeight="1" x14ac:dyDescent="0.25">
      <c r="A300" s="219"/>
      <c r="B300" s="219"/>
      <c r="C300" s="220"/>
      <c r="D300" s="220"/>
      <c r="E300" s="220"/>
      <c r="F300" s="220"/>
      <c r="G300" s="220"/>
      <c r="H300" s="220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  <c r="AC300" s="219"/>
    </row>
    <row r="301" spans="1:29" ht="15.75" customHeight="1" x14ac:dyDescent="0.25">
      <c r="A301" s="219"/>
      <c r="B301" s="219"/>
      <c r="C301" s="220"/>
      <c r="D301" s="220"/>
      <c r="E301" s="220"/>
      <c r="F301" s="220"/>
      <c r="G301" s="220"/>
      <c r="H301" s="220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</row>
    <row r="302" spans="1:29" ht="15.75" customHeight="1" x14ac:dyDescent="0.25">
      <c r="A302" s="219"/>
      <c r="B302" s="219"/>
      <c r="C302" s="220"/>
      <c r="D302" s="220"/>
      <c r="E302" s="220"/>
      <c r="F302" s="220"/>
      <c r="G302" s="220"/>
      <c r="H302" s="220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</row>
    <row r="303" spans="1:29" ht="15.75" customHeight="1" x14ac:dyDescent="0.25">
      <c r="A303" s="219"/>
      <c r="B303" s="219"/>
      <c r="C303" s="220"/>
      <c r="D303" s="220"/>
      <c r="E303" s="220"/>
      <c r="F303" s="220"/>
      <c r="G303" s="220"/>
      <c r="H303" s="220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  <c r="AC303" s="219"/>
    </row>
    <row r="304" spans="1:29" ht="15.75" customHeight="1" x14ac:dyDescent="0.25">
      <c r="A304" s="219"/>
      <c r="B304" s="219"/>
      <c r="C304" s="220"/>
      <c r="D304" s="220"/>
      <c r="E304" s="220"/>
      <c r="F304" s="220"/>
      <c r="G304" s="220"/>
      <c r="H304" s="220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19"/>
    </row>
    <row r="305" spans="1:29" ht="15.75" customHeight="1" x14ac:dyDescent="0.25">
      <c r="A305" s="219"/>
      <c r="B305" s="219"/>
      <c r="C305" s="220"/>
      <c r="D305" s="220"/>
      <c r="E305" s="220"/>
      <c r="F305" s="220"/>
      <c r="G305" s="220"/>
      <c r="H305" s="220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  <c r="AC305" s="219"/>
    </row>
    <row r="306" spans="1:29" ht="15.75" customHeight="1" x14ac:dyDescent="0.25">
      <c r="A306" s="219"/>
      <c r="B306" s="219"/>
      <c r="C306" s="220"/>
      <c r="D306" s="220"/>
      <c r="E306" s="220"/>
      <c r="F306" s="220"/>
      <c r="G306" s="220"/>
      <c r="H306" s="220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</row>
    <row r="307" spans="1:29" ht="15.75" customHeight="1" x14ac:dyDescent="0.25">
      <c r="A307" s="219"/>
      <c r="B307" s="219"/>
      <c r="C307" s="220"/>
      <c r="D307" s="220"/>
      <c r="E307" s="220"/>
      <c r="F307" s="220"/>
      <c r="G307" s="220"/>
      <c r="H307" s="220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</row>
    <row r="308" spans="1:29" ht="15.75" customHeight="1" x14ac:dyDescent="0.25">
      <c r="A308" s="219"/>
      <c r="B308" s="219"/>
      <c r="C308" s="220"/>
      <c r="D308" s="220"/>
      <c r="E308" s="220"/>
      <c r="F308" s="220"/>
      <c r="G308" s="220"/>
      <c r="H308" s="220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  <c r="AC308" s="219"/>
    </row>
    <row r="309" spans="1:29" ht="15.75" customHeight="1" x14ac:dyDescent="0.25">
      <c r="A309" s="219"/>
      <c r="B309" s="219"/>
      <c r="C309" s="220"/>
      <c r="D309" s="220"/>
      <c r="E309" s="220"/>
      <c r="F309" s="220"/>
      <c r="G309" s="220"/>
      <c r="H309" s="220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  <c r="AA309" s="219"/>
      <c r="AB309" s="219"/>
      <c r="AC309" s="219"/>
    </row>
    <row r="310" spans="1:29" ht="15.75" customHeight="1" x14ac:dyDescent="0.25">
      <c r="A310" s="219"/>
      <c r="B310" s="219"/>
      <c r="C310" s="220"/>
      <c r="D310" s="220"/>
      <c r="E310" s="220"/>
      <c r="F310" s="220"/>
      <c r="G310" s="220"/>
      <c r="H310" s="220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</row>
    <row r="311" spans="1:29" ht="15.75" customHeight="1" x14ac:dyDescent="0.25">
      <c r="A311" s="219"/>
      <c r="B311" s="219"/>
      <c r="C311" s="220"/>
      <c r="D311" s="220"/>
      <c r="E311" s="220"/>
      <c r="F311" s="220"/>
      <c r="G311" s="220"/>
      <c r="H311" s="220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19"/>
    </row>
    <row r="312" spans="1:29" ht="15.75" customHeight="1" x14ac:dyDescent="0.25">
      <c r="A312" s="219"/>
      <c r="B312" s="219"/>
      <c r="C312" s="220"/>
      <c r="D312" s="220"/>
      <c r="E312" s="220"/>
      <c r="F312" s="220"/>
      <c r="G312" s="220"/>
      <c r="H312" s="220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</row>
    <row r="313" spans="1:29" ht="15.75" customHeight="1" x14ac:dyDescent="0.25">
      <c r="A313" s="219"/>
      <c r="B313" s="219"/>
      <c r="C313" s="220"/>
      <c r="D313" s="220"/>
      <c r="E313" s="220"/>
      <c r="F313" s="220"/>
      <c r="G313" s="220"/>
      <c r="H313" s="220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</row>
    <row r="314" spans="1:29" ht="15.75" customHeight="1" x14ac:dyDescent="0.25">
      <c r="A314" s="219"/>
      <c r="B314" s="219"/>
      <c r="C314" s="220"/>
      <c r="D314" s="220"/>
      <c r="E314" s="220"/>
      <c r="F314" s="220"/>
      <c r="G314" s="220"/>
      <c r="H314" s="220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</row>
    <row r="315" spans="1:29" ht="15.75" customHeight="1" x14ac:dyDescent="0.25">
      <c r="A315" s="219"/>
      <c r="B315" s="219"/>
      <c r="C315" s="220"/>
      <c r="D315" s="220"/>
      <c r="E315" s="220"/>
      <c r="F315" s="220"/>
      <c r="G315" s="220"/>
      <c r="H315" s="220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</row>
    <row r="316" spans="1:29" ht="15.75" customHeight="1" x14ac:dyDescent="0.25">
      <c r="A316" s="219"/>
      <c r="B316" s="219"/>
      <c r="C316" s="220"/>
      <c r="D316" s="220"/>
      <c r="E316" s="220"/>
      <c r="F316" s="220"/>
      <c r="G316" s="220"/>
      <c r="H316" s="220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</row>
    <row r="317" spans="1:29" ht="15.75" customHeight="1" x14ac:dyDescent="0.25">
      <c r="A317" s="219"/>
      <c r="B317" s="219"/>
      <c r="C317" s="220"/>
      <c r="D317" s="220"/>
      <c r="E317" s="220"/>
      <c r="F317" s="220"/>
      <c r="G317" s="220"/>
      <c r="H317" s="220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</row>
    <row r="318" spans="1:29" ht="15.75" customHeight="1" x14ac:dyDescent="0.25">
      <c r="A318" s="219"/>
      <c r="B318" s="219"/>
      <c r="C318" s="220"/>
      <c r="D318" s="220"/>
      <c r="E318" s="220"/>
      <c r="F318" s="220"/>
      <c r="G318" s="220"/>
      <c r="H318" s="220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</row>
    <row r="319" spans="1:29" ht="15.75" customHeight="1" x14ac:dyDescent="0.25">
      <c r="A319" s="219"/>
      <c r="B319" s="219"/>
      <c r="C319" s="220"/>
      <c r="D319" s="220"/>
      <c r="E319" s="220"/>
      <c r="F319" s="220"/>
      <c r="G319" s="220"/>
      <c r="H319" s="220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</row>
    <row r="320" spans="1:29" ht="15.75" customHeight="1" x14ac:dyDescent="0.25">
      <c r="A320" s="219"/>
      <c r="B320" s="219"/>
      <c r="C320" s="220"/>
      <c r="D320" s="220"/>
      <c r="E320" s="220"/>
      <c r="F320" s="220"/>
      <c r="G320" s="220"/>
      <c r="H320" s="220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</row>
    <row r="321" spans="1:29" ht="15.75" customHeight="1" x14ac:dyDescent="0.25">
      <c r="A321" s="219"/>
      <c r="B321" s="219"/>
      <c r="C321" s="220"/>
      <c r="D321" s="220"/>
      <c r="E321" s="220"/>
      <c r="F321" s="220"/>
      <c r="G321" s="220"/>
      <c r="H321" s="220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</row>
    <row r="322" spans="1:29" ht="15.75" customHeight="1" x14ac:dyDescent="0.25">
      <c r="A322" s="219"/>
      <c r="B322" s="219"/>
      <c r="C322" s="220"/>
      <c r="D322" s="220"/>
      <c r="E322" s="220"/>
      <c r="F322" s="220"/>
      <c r="G322" s="220"/>
      <c r="H322" s="220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  <c r="AA322" s="219"/>
      <c r="AB322" s="219"/>
      <c r="AC322" s="219"/>
    </row>
    <row r="323" spans="1:29" ht="15.75" customHeight="1" x14ac:dyDescent="0.25">
      <c r="A323" s="219"/>
      <c r="B323" s="219"/>
      <c r="C323" s="220"/>
      <c r="D323" s="220"/>
      <c r="E323" s="220"/>
      <c r="F323" s="220"/>
      <c r="G323" s="220"/>
      <c r="H323" s="220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  <c r="AC323" s="219"/>
    </row>
    <row r="324" spans="1:29" ht="15.75" customHeight="1" x14ac:dyDescent="0.25">
      <c r="A324" s="219"/>
      <c r="B324" s="219"/>
      <c r="C324" s="220"/>
      <c r="D324" s="220"/>
      <c r="E324" s="220"/>
      <c r="F324" s="220"/>
      <c r="G324" s="220"/>
      <c r="H324" s="220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  <c r="AC324" s="219"/>
    </row>
    <row r="325" spans="1:29" ht="15.75" customHeight="1" x14ac:dyDescent="0.25">
      <c r="A325" s="219"/>
      <c r="B325" s="219"/>
      <c r="C325" s="220"/>
      <c r="D325" s="220"/>
      <c r="E325" s="220"/>
      <c r="F325" s="220"/>
      <c r="G325" s="220"/>
      <c r="H325" s="220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  <c r="AC325" s="219"/>
    </row>
    <row r="326" spans="1:29" ht="15.75" customHeight="1" x14ac:dyDescent="0.25">
      <c r="A326" s="219"/>
      <c r="B326" s="219"/>
      <c r="C326" s="220"/>
      <c r="D326" s="220"/>
      <c r="E326" s="220"/>
      <c r="F326" s="220"/>
      <c r="G326" s="220"/>
      <c r="H326" s="220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  <c r="AC326" s="219"/>
    </row>
    <row r="327" spans="1:29" ht="15.75" customHeight="1" x14ac:dyDescent="0.25">
      <c r="A327" s="219"/>
      <c r="B327" s="219"/>
      <c r="C327" s="220"/>
      <c r="D327" s="220"/>
      <c r="E327" s="220"/>
      <c r="F327" s="220"/>
      <c r="G327" s="220"/>
      <c r="H327" s="220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19"/>
    </row>
    <row r="328" spans="1:29" ht="15.75" customHeight="1" x14ac:dyDescent="0.25">
      <c r="A328" s="219"/>
      <c r="B328" s="219"/>
      <c r="C328" s="220"/>
      <c r="D328" s="220"/>
      <c r="E328" s="220"/>
      <c r="F328" s="220"/>
      <c r="G328" s="220"/>
      <c r="H328" s="220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19"/>
    </row>
    <row r="329" spans="1:29" ht="15.75" customHeight="1" x14ac:dyDescent="0.25">
      <c r="A329" s="219"/>
      <c r="B329" s="219"/>
      <c r="C329" s="220"/>
      <c r="D329" s="220"/>
      <c r="E329" s="220"/>
      <c r="F329" s="220"/>
      <c r="G329" s="220"/>
      <c r="H329" s="220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  <c r="AC329" s="219"/>
    </row>
    <row r="330" spans="1:29" ht="15.75" customHeight="1" x14ac:dyDescent="0.25">
      <c r="A330" s="219"/>
      <c r="B330" s="219"/>
      <c r="C330" s="220"/>
      <c r="D330" s="220"/>
      <c r="E330" s="220"/>
      <c r="F330" s="220"/>
      <c r="G330" s="220"/>
      <c r="H330" s="220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</row>
    <row r="331" spans="1:29" ht="15.75" customHeight="1" x14ac:dyDescent="0.25">
      <c r="A331" s="219"/>
      <c r="B331" s="219"/>
      <c r="C331" s="220"/>
      <c r="D331" s="220"/>
      <c r="E331" s="220"/>
      <c r="F331" s="220"/>
      <c r="G331" s="220"/>
      <c r="H331" s="220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</row>
    <row r="332" spans="1:29" ht="15.75" customHeight="1" x14ac:dyDescent="0.25">
      <c r="A332" s="219"/>
      <c r="B332" s="219"/>
      <c r="C332" s="220"/>
      <c r="D332" s="220"/>
      <c r="E332" s="220"/>
      <c r="F332" s="220"/>
      <c r="G332" s="220"/>
      <c r="H332" s="220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</row>
    <row r="333" spans="1:29" ht="15.75" customHeight="1" x14ac:dyDescent="0.25">
      <c r="A333" s="219"/>
      <c r="B333" s="219"/>
      <c r="C333" s="220"/>
      <c r="D333" s="220"/>
      <c r="E333" s="220"/>
      <c r="F333" s="220"/>
      <c r="G333" s="220"/>
      <c r="H333" s="220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19"/>
    </row>
    <row r="334" spans="1:29" ht="15.75" customHeight="1" x14ac:dyDescent="0.25">
      <c r="A334" s="219"/>
      <c r="B334" s="219"/>
      <c r="C334" s="220"/>
      <c r="D334" s="220"/>
      <c r="E334" s="220"/>
      <c r="F334" s="220"/>
      <c r="G334" s="220"/>
      <c r="H334" s="220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19"/>
    </row>
    <row r="335" spans="1:29" ht="15.75" customHeight="1" x14ac:dyDescent="0.25">
      <c r="A335" s="219"/>
      <c r="B335" s="219"/>
      <c r="C335" s="220"/>
      <c r="D335" s="220"/>
      <c r="E335" s="220"/>
      <c r="F335" s="220"/>
      <c r="G335" s="220"/>
      <c r="H335" s="220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</row>
    <row r="336" spans="1:29" ht="15.75" customHeight="1" x14ac:dyDescent="0.25">
      <c r="A336" s="219"/>
      <c r="B336" s="219"/>
      <c r="C336" s="220"/>
      <c r="D336" s="220"/>
      <c r="E336" s="220"/>
      <c r="F336" s="220"/>
      <c r="G336" s="220"/>
      <c r="H336" s="220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</row>
    <row r="337" spans="1:29" ht="15.75" customHeight="1" x14ac:dyDescent="0.25">
      <c r="A337" s="219"/>
      <c r="B337" s="219"/>
      <c r="C337" s="220"/>
      <c r="D337" s="220"/>
      <c r="E337" s="220"/>
      <c r="F337" s="220"/>
      <c r="G337" s="220"/>
      <c r="H337" s="220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19"/>
      <c r="AC337" s="219"/>
    </row>
    <row r="338" spans="1:29" ht="15.75" customHeight="1" x14ac:dyDescent="0.25">
      <c r="A338" s="219"/>
      <c r="B338" s="219"/>
      <c r="C338" s="220"/>
      <c r="D338" s="220"/>
      <c r="E338" s="220"/>
      <c r="F338" s="220"/>
      <c r="G338" s="220"/>
      <c r="H338" s="220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19"/>
      <c r="AC338" s="219"/>
    </row>
    <row r="339" spans="1:29" ht="15.75" customHeight="1" x14ac:dyDescent="0.25">
      <c r="A339" s="219"/>
      <c r="B339" s="219"/>
      <c r="C339" s="220"/>
      <c r="D339" s="220"/>
      <c r="E339" s="220"/>
      <c r="F339" s="220"/>
      <c r="G339" s="220"/>
      <c r="H339" s="220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19"/>
      <c r="AC339" s="219"/>
    </row>
    <row r="340" spans="1:29" ht="15.75" customHeight="1" x14ac:dyDescent="0.25">
      <c r="A340" s="219"/>
      <c r="B340" s="219"/>
      <c r="C340" s="220"/>
      <c r="D340" s="220"/>
      <c r="E340" s="220"/>
      <c r="F340" s="220"/>
      <c r="G340" s="220"/>
      <c r="H340" s="220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  <c r="AB340" s="219"/>
      <c r="AC340" s="219"/>
    </row>
    <row r="341" spans="1:29" ht="15.75" customHeight="1" x14ac:dyDescent="0.25">
      <c r="A341" s="219"/>
      <c r="B341" s="219"/>
      <c r="C341" s="220"/>
      <c r="D341" s="220"/>
      <c r="E341" s="220"/>
      <c r="F341" s="220"/>
      <c r="G341" s="220"/>
      <c r="H341" s="220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  <c r="AB341" s="219"/>
      <c r="AC341" s="219"/>
    </row>
    <row r="342" spans="1:29" ht="15.75" customHeight="1" x14ac:dyDescent="0.25">
      <c r="A342" s="219"/>
      <c r="B342" s="219"/>
      <c r="C342" s="220"/>
      <c r="D342" s="220"/>
      <c r="E342" s="220"/>
      <c r="F342" s="220"/>
      <c r="G342" s="220"/>
      <c r="H342" s="220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</row>
    <row r="343" spans="1:29" ht="15.75" customHeight="1" x14ac:dyDescent="0.25">
      <c r="A343" s="219"/>
      <c r="B343" s="219"/>
      <c r="C343" s="220"/>
      <c r="D343" s="220"/>
      <c r="E343" s="220"/>
      <c r="F343" s="220"/>
      <c r="G343" s="220"/>
      <c r="H343" s="220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</row>
    <row r="344" spans="1:29" ht="15.75" customHeight="1" x14ac:dyDescent="0.25">
      <c r="A344" s="219"/>
      <c r="B344" s="219"/>
      <c r="C344" s="220"/>
      <c r="D344" s="220"/>
      <c r="E344" s="220"/>
      <c r="F344" s="220"/>
      <c r="G344" s="220"/>
      <c r="H344" s="220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</row>
    <row r="345" spans="1:29" ht="15.75" customHeight="1" x14ac:dyDescent="0.25">
      <c r="A345" s="219"/>
      <c r="B345" s="219"/>
      <c r="C345" s="220"/>
      <c r="D345" s="220"/>
      <c r="E345" s="220"/>
      <c r="F345" s="220"/>
      <c r="G345" s="220"/>
      <c r="H345" s="220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</row>
    <row r="346" spans="1:29" ht="15.75" customHeight="1" x14ac:dyDescent="0.25">
      <c r="A346" s="219"/>
      <c r="B346" s="219"/>
      <c r="C346" s="220"/>
      <c r="D346" s="220"/>
      <c r="E346" s="220"/>
      <c r="F346" s="220"/>
      <c r="G346" s="220"/>
      <c r="H346" s="220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</row>
    <row r="347" spans="1:29" ht="15.75" customHeight="1" x14ac:dyDescent="0.25">
      <c r="A347" s="219"/>
      <c r="B347" s="219"/>
      <c r="C347" s="220"/>
      <c r="D347" s="220"/>
      <c r="E347" s="220"/>
      <c r="F347" s="220"/>
      <c r="G347" s="220"/>
      <c r="H347" s="220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  <c r="AC347" s="219"/>
    </row>
    <row r="348" spans="1:29" ht="15.75" customHeight="1" x14ac:dyDescent="0.25">
      <c r="A348" s="219"/>
      <c r="B348" s="219"/>
      <c r="C348" s="220"/>
      <c r="D348" s="220"/>
      <c r="E348" s="220"/>
      <c r="F348" s="220"/>
      <c r="G348" s="220"/>
      <c r="H348" s="220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</row>
    <row r="349" spans="1:29" ht="15.75" customHeight="1" x14ac:dyDescent="0.25">
      <c r="A349" s="219"/>
      <c r="B349" s="219"/>
      <c r="C349" s="220"/>
      <c r="D349" s="220"/>
      <c r="E349" s="220"/>
      <c r="F349" s="220"/>
      <c r="G349" s="220"/>
      <c r="H349" s="220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</row>
    <row r="350" spans="1:29" ht="15.75" customHeight="1" x14ac:dyDescent="0.25">
      <c r="A350" s="219"/>
      <c r="B350" s="219"/>
      <c r="C350" s="220"/>
      <c r="D350" s="220"/>
      <c r="E350" s="220"/>
      <c r="F350" s="220"/>
      <c r="G350" s="220"/>
      <c r="H350" s="220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  <c r="AB350" s="219"/>
      <c r="AC350" s="219"/>
    </row>
    <row r="351" spans="1:29" ht="15.75" customHeight="1" x14ac:dyDescent="0.25">
      <c r="A351" s="219"/>
      <c r="B351" s="219"/>
      <c r="C351" s="220"/>
      <c r="D351" s="220"/>
      <c r="E351" s="220"/>
      <c r="F351" s="220"/>
      <c r="G351" s="220"/>
      <c r="H351" s="220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  <c r="AB351" s="219"/>
      <c r="AC351" s="219"/>
    </row>
    <row r="352" spans="1:29" ht="15.75" customHeight="1" x14ac:dyDescent="0.25">
      <c r="A352" s="219"/>
      <c r="B352" s="219"/>
      <c r="C352" s="220"/>
      <c r="D352" s="220"/>
      <c r="E352" s="220"/>
      <c r="F352" s="220"/>
      <c r="G352" s="220"/>
      <c r="H352" s="220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  <c r="AC352" s="219"/>
    </row>
    <row r="353" spans="1:29" ht="15.75" customHeight="1" x14ac:dyDescent="0.25">
      <c r="A353" s="219"/>
      <c r="B353" s="219"/>
      <c r="C353" s="220"/>
      <c r="D353" s="220"/>
      <c r="E353" s="220"/>
      <c r="F353" s="220"/>
      <c r="G353" s="220"/>
      <c r="H353" s="220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19"/>
    </row>
    <row r="354" spans="1:29" ht="15.75" customHeight="1" x14ac:dyDescent="0.25">
      <c r="A354" s="219"/>
      <c r="B354" s="219"/>
      <c r="C354" s="220"/>
      <c r="D354" s="220"/>
      <c r="E354" s="220"/>
      <c r="F354" s="220"/>
      <c r="G354" s="220"/>
      <c r="H354" s="220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</row>
    <row r="355" spans="1:29" ht="15.75" customHeight="1" x14ac:dyDescent="0.25">
      <c r="A355" s="219"/>
      <c r="B355" s="219"/>
      <c r="C355" s="220"/>
      <c r="D355" s="220"/>
      <c r="E355" s="220"/>
      <c r="F355" s="220"/>
      <c r="G355" s="220"/>
      <c r="H355" s="220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</row>
    <row r="356" spans="1:29" ht="15.75" customHeight="1" x14ac:dyDescent="0.25">
      <c r="A356" s="219"/>
      <c r="B356" s="219"/>
      <c r="C356" s="220"/>
      <c r="D356" s="220"/>
      <c r="E356" s="220"/>
      <c r="F356" s="220"/>
      <c r="G356" s="220"/>
      <c r="H356" s="220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</row>
    <row r="357" spans="1:29" ht="15.75" customHeight="1" x14ac:dyDescent="0.25">
      <c r="A357" s="219"/>
      <c r="B357" s="219"/>
      <c r="C357" s="220"/>
      <c r="D357" s="220"/>
      <c r="E357" s="220"/>
      <c r="F357" s="220"/>
      <c r="G357" s="220"/>
      <c r="H357" s="220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</row>
    <row r="358" spans="1:29" ht="15.75" customHeight="1" x14ac:dyDescent="0.25">
      <c r="A358" s="219"/>
      <c r="B358" s="219"/>
      <c r="C358" s="220"/>
      <c r="D358" s="220"/>
      <c r="E358" s="220"/>
      <c r="F358" s="220"/>
      <c r="G358" s="220"/>
      <c r="H358" s="220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</row>
    <row r="359" spans="1:29" ht="15.75" customHeight="1" x14ac:dyDescent="0.25">
      <c r="A359" s="219"/>
      <c r="B359" s="219"/>
      <c r="C359" s="220"/>
      <c r="D359" s="220"/>
      <c r="E359" s="220"/>
      <c r="F359" s="220"/>
      <c r="G359" s="220"/>
      <c r="H359" s="220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</row>
    <row r="360" spans="1:29" ht="15.75" customHeight="1" x14ac:dyDescent="0.25">
      <c r="A360" s="219"/>
      <c r="B360" s="219"/>
      <c r="C360" s="220"/>
      <c r="D360" s="220"/>
      <c r="E360" s="220"/>
      <c r="F360" s="220"/>
      <c r="G360" s="220"/>
      <c r="H360" s="220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</row>
    <row r="361" spans="1:29" ht="15.75" customHeight="1" x14ac:dyDescent="0.25">
      <c r="A361" s="219"/>
      <c r="B361" s="219"/>
      <c r="C361" s="220"/>
      <c r="D361" s="220"/>
      <c r="E361" s="220"/>
      <c r="F361" s="220"/>
      <c r="G361" s="220"/>
      <c r="H361" s="220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  <c r="AB361" s="219"/>
      <c r="AC361" s="219"/>
    </row>
    <row r="362" spans="1:29" ht="15.75" customHeight="1" x14ac:dyDescent="0.25">
      <c r="A362" s="219"/>
      <c r="B362" s="219"/>
      <c r="C362" s="220"/>
      <c r="D362" s="220"/>
      <c r="E362" s="220"/>
      <c r="F362" s="220"/>
      <c r="G362" s="220"/>
      <c r="H362" s="220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</row>
    <row r="363" spans="1:29" ht="15.75" customHeight="1" x14ac:dyDescent="0.25">
      <c r="A363" s="219"/>
      <c r="B363" s="219"/>
      <c r="C363" s="220"/>
      <c r="D363" s="220"/>
      <c r="E363" s="220"/>
      <c r="F363" s="220"/>
      <c r="G363" s="220"/>
      <c r="H363" s="220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</row>
    <row r="364" spans="1:29" ht="15.75" customHeight="1" x14ac:dyDescent="0.25">
      <c r="A364" s="219"/>
      <c r="B364" s="219"/>
      <c r="C364" s="220"/>
      <c r="D364" s="220"/>
      <c r="E364" s="220"/>
      <c r="F364" s="220"/>
      <c r="G364" s="220"/>
      <c r="H364" s="220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  <c r="AA364" s="219"/>
      <c r="AB364" s="219"/>
      <c r="AC364" s="219"/>
    </row>
    <row r="365" spans="1:29" ht="15.75" customHeight="1" x14ac:dyDescent="0.25">
      <c r="A365" s="219"/>
      <c r="B365" s="219"/>
      <c r="C365" s="220"/>
      <c r="D365" s="220"/>
      <c r="E365" s="220"/>
      <c r="F365" s="220"/>
      <c r="G365" s="220"/>
      <c r="H365" s="220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  <c r="AA365" s="219"/>
      <c r="AB365" s="219"/>
      <c r="AC365" s="219"/>
    </row>
    <row r="366" spans="1:29" ht="15.75" customHeight="1" x14ac:dyDescent="0.25">
      <c r="A366" s="219"/>
      <c r="B366" s="219"/>
      <c r="C366" s="220"/>
      <c r="D366" s="220"/>
      <c r="E366" s="220"/>
      <c r="F366" s="220"/>
      <c r="G366" s="220"/>
      <c r="H366" s="220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</row>
    <row r="367" spans="1:29" ht="15.75" customHeight="1" x14ac:dyDescent="0.25">
      <c r="A367" s="219"/>
      <c r="B367" s="219"/>
      <c r="C367" s="220"/>
      <c r="D367" s="220"/>
      <c r="E367" s="220"/>
      <c r="F367" s="220"/>
      <c r="G367" s="220"/>
      <c r="H367" s="220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</row>
    <row r="368" spans="1:29" ht="15.75" customHeight="1" x14ac:dyDescent="0.25">
      <c r="A368" s="219"/>
      <c r="B368" s="219"/>
      <c r="C368" s="220"/>
      <c r="D368" s="220"/>
      <c r="E368" s="220"/>
      <c r="F368" s="220"/>
      <c r="G368" s="220"/>
      <c r="H368" s="220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  <c r="AA368" s="219"/>
      <c r="AB368" s="219"/>
      <c r="AC368" s="219"/>
    </row>
    <row r="369" spans="1:29" ht="15.75" customHeight="1" x14ac:dyDescent="0.25">
      <c r="A369" s="219"/>
      <c r="B369" s="219"/>
      <c r="C369" s="220"/>
      <c r="D369" s="220"/>
      <c r="E369" s="220"/>
      <c r="F369" s="220"/>
      <c r="G369" s="220"/>
      <c r="H369" s="220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  <c r="AB369" s="219"/>
      <c r="AC369" s="219"/>
    </row>
    <row r="370" spans="1:29" ht="15.75" customHeight="1" x14ac:dyDescent="0.25">
      <c r="A370" s="219"/>
      <c r="B370" s="219"/>
      <c r="C370" s="220"/>
      <c r="D370" s="220"/>
      <c r="E370" s="220"/>
      <c r="F370" s="220"/>
      <c r="G370" s="220"/>
      <c r="H370" s="220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</row>
    <row r="371" spans="1:29" ht="15.75" customHeight="1" x14ac:dyDescent="0.25">
      <c r="A371" s="219"/>
      <c r="B371" s="219"/>
      <c r="C371" s="220"/>
      <c r="D371" s="220"/>
      <c r="E371" s="220"/>
      <c r="F371" s="220"/>
      <c r="G371" s="220"/>
      <c r="H371" s="220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</row>
    <row r="372" spans="1:29" ht="15.75" customHeight="1" x14ac:dyDescent="0.25">
      <c r="A372" s="219"/>
      <c r="B372" s="219"/>
      <c r="C372" s="220"/>
      <c r="D372" s="220"/>
      <c r="E372" s="220"/>
      <c r="F372" s="220"/>
      <c r="G372" s="220"/>
      <c r="H372" s="220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</row>
    <row r="373" spans="1:29" ht="15.75" customHeight="1" x14ac:dyDescent="0.25">
      <c r="A373" s="219"/>
      <c r="B373" s="219"/>
      <c r="C373" s="220"/>
      <c r="D373" s="220"/>
      <c r="E373" s="220"/>
      <c r="F373" s="220"/>
      <c r="G373" s="220"/>
      <c r="H373" s="220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</row>
    <row r="374" spans="1:29" ht="15.75" customHeight="1" x14ac:dyDescent="0.25">
      <c r="A374" s="219"/>
      <c r="B374" s="219"/>
      <c r="C374" s="220"/>
      <c r="D374" s="220"/>
      <c r="E374" s="220"/>
      <c r="F374" s="220"/>
      <c r="G374" s="220"/>
      <c r="H374" s="220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</row>
    <row r="375" spans="1:29" ht="15.75" customHeight="1" x14ac:dyDescent="0.25">
      <c r="A375" s="219"/>
      <c r="B375" s="219"/>
      <c r="C375" s="220"/>
      <c r="D375" s="220"/>
      <c r="E375" s="220"/>
      <c r="F375" s="220"/>
      <c r="G375" s="220"/>
      <c r="H375" s="220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  <c r="AB375" s="219"/>
      <c r="AC375" s="219"/>
    </row>
    <row r="376" spans="1:29" ht="15.75" customHeight="1" x14ac:dyDescent="0.25">
      <c r="A376" s="219"/>
      <c r="B376" s="219"/>
      <c r="C376" s="220"/>
      <c r="D376" s="220"/>
      <c r="E376" s="220"/>
      <c r="F376" s="220"/>
      <c r="G376" s="220"/>
      <c r="H376" s="220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</row>
    <row r="377" spans="1:29" ht="15.75" customHeight="1" x14ac:dyDescent="0.25">
      <c r="A377" s="219"/>
      <c r="B377" s="219"/>
      <c r="C377" s="220"/>
      <c r="D377" s="220"/>
      <c r="E377" s="220"/>
      <c r="F377" s="220"/>
      <c r="G377" s="220"/>
      <c r="H377" s="220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</row>
    <row r="378" spans="1:29" ht="15.75" customHeight="1" x14ac:dyDescent="0.25">
      <c r="A378" s="219"/>
      <c r="B378" s="219"/>
      <c r="C378" s="220"/>
      <c r="D378" s="220"/>
      <c r="E378" s="220"/>
      <c r="F378" s="220"/>
      <c r="G378" s="220"/>
      <c r="H378" s="220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19"/>
    </row>
    <row r="379" spans="1:29" ht="15.75" customHeight="1" x14ac:dyDescent="0.25">
      <c r="A379" s="219"/>
      <c r="B379" s="219"/>
      <c r="C379" s="220"/>
      <c r="D379" s="220"/>
      <c r="E379" s="220"/>
      <c r="F379" s="220"/>
      <c r="G379" s="220"/>
      <c r="H379" s="220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  <c r="AB379" s="219"/>
      <c r="AC379" s="219"/>
    </row>
    <row r="380" spans="1:29" ht="15.75" customHeight="1" x14ac:dyDescent="0.25">
      <c r="A380" s="219"/>
      <c r="B380" s="219"/>
      <c r="C380" s="220"/>
      <c r="D380" s="220"/>
      <c r="E380" s="220"/>
      <c r="F380" s="220"/>
      <c r="G380" s="220"/>
      <c r="H380" s="220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  <c r="AB380" s="219"/>
      <c r="AC380" s="219"/>
    </row>
    <row r="381" spans="1:29" ht="15.75" customHeight="1" x14ac:dyDescent="0.25">
      <c r="A381" s="219"/>
      <c r="B381" s="219"/>
      <c r="C381" s="220"/>
      <c r="D381" s="220"/>
      <c r="E381" s="220"/>
      <c r="F381" s="220"/>
      <c r="G381" s="220"/>
      <c r="H381" s="220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  <c r="AB381" s="219"/>
      <c r="AC381" s="219"/>
    </row>
    <row r="382" spans="1:29" ht="15.75" customHeight="1" x14ac:dyDescent="0.25">
      <c r="A382" s="219"/>
      <c r="B382" s="219"/>
      <c r="C382" s="220"/>
      <c r="D382" s="220"/>
      <c r="E382" s="220"/>
      <c r="F382" s="220"/>
      <c r="G382" s="220"/>
      <c r="H382" s="220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  <c r="AB382" s="219"/>
      <c r="AC382" s="219"/>
    </row>
    <row r="383" spans="1:29" ht="15.75" customHeight="1" x14ac:dyDescent="0.25">
      <c r="A383" s="219"/>
      <c r="B383" s="219"/>
      <c r="C383" s="220"/>
      <c r="D383" s="220"/>
      <c r="E383" s="220"/>
      <c r="F383" s="220"/>
      <c r="G383" s="220"/>
      <c r="H383" s="220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  <c r="AA383" s="219"/>
      <c r="AB383" s="219"/>
      <c r="AC383" s="219"/>
    </row>
    <row r="384" spans="1:29" ht="15.75" customHeight="1" x14ac:dyDescent="0.25">
      <c r="A384" s="219"/>
      <c r="B384" s="219"/>
      <c r="C384" s="220"/>
      <c r="D384" s="220"/>
      <c r="E384" s="220"/>
      <c r="F384" s="220"/>
      <c r="G384" s="220"/>
      <c r="H384" s="220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</row>
    <row r="385" spans="1:29" ht="15.75" customHeight="1" x14ac:dyDescent="0.25">
      <c r="A385" s="219"/>
      <c r="B385" s="219"/>
      <c r="C385" s="220"/>
      <c r="D385" s="220"/>
      <c r="E385" s="220"/>
      <c r="F385" s="220"/>
      <c r="G385" s="220"/>
      <c r="H385" s="220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</row>
    <row r="386" spans="1:29" ht="15.75" customHeight="1" x14ac:dyDescent="0.25">
      <c r="A386" s="219"/>
      <c r="B386" s="219"/>
      <c r="C386" s="220"/>
      <c r="D386" s="220"/>
      <c r="E386" s="220"/>
      <c r="F386" s="220"/>
      <c r="G386" s="220"/>
      <c r="H386" s="220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</row>
    <row r="387" spans="1:29" ht="15.75" customHeight="1" x14ac:dyDescent="0.25">
      <c r="A387" s="219"/>
      <c r="B387" s="219"/>
      <c r="C387" s="220"/>
      <c r="D387" s="220"/>
      <c r="E387" s="220"/>
      <c r="F387" s="220"/>
      <c r="G387" s="220"/>
      <c r="H387" s="220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</row>
    <row r="388" spans="1:29" ht="15.75" customHeight="1" x14ac:dyDescent="0.25">
      <c r="A388" s="219"/>
      <c r="B388" s="219"/>
      <c r="C388" s="220"/>
      <c r="D388" s="220"/>
      <c r="E388" s="220"/>
      <c r="F388" s="220"/>
      <c r="G388" s="220"/>
      <c r="H388" s="220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</row>
    <row r="389" spans="1:29" ht="15.75" customHeight="1" x14ac:dyDescent="0.25">
      <c r="A389" s="219"/>
      <c r="B389" s="219"/>
      <c r="C389" s="220"/>
      <c r="D389" s="220"/>
      <c r="E389" s="220"/>
      <c r="F389" s="220"/>
      <c r="G389" s="220"/>
      <c r="H389" s="220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19"/>
    </row>
    <row r="390" spans="1:29" ht="15.75" customHeight="1" x14ac:dyDescent="0.25">
      <c r="A390" s="219"/>
      <c r="B390" s="219"/>
      <c r="C390" s="220"/>
      <c r="D390" s="220"/>
      <c r="E390" s="220"/>
      <c r="F390" s="220"/>
      <c r="G390" s="220"/>
      <c r="H390" s="220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</row>
    <row r="391" spans="1:29" ht="15.75" customHeight="1" x14ac:dyDescent="0.25">
      <c r="A391" s="219"/>
      <c r="B391" s="219"/>
      <c r="C391" s="220"/>
      <c r="D391" s="220"/>
      <c r="E391" s="220"/>
      <c r="F391" s="220"/>
      <c r="G391" s="220"/>
      <c r="H391" s="220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</row>
    <row r="392" spans="1:29" ht="15.75" customHeight="1" x14ac:dyDescent="0.25">
      <c r="A392" s="219"/>
      <c r="B392" s="219"/>
      <c r="C392" s="220"/>
      <c r="D392" s="220"/>
      <c r="E392" s="220"/>
      <c r="F392" s="220"/>
      <c r="G392" s="220"/>
      <c r="H392" s="220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  <c r="AC392" s="219"/>
    </row>
    <row r="393" spans="1:29" ht="15.75" customHeight="1" x14ac:dyDescent="0.25">
      <c r="A393" s="219"/>
      <c r="B393" s="219"/>
      <c r="C393" s="220"/>
      <c r="D393" s="220"/>
      <c r="E393" s="220"/>
      <c r="F393" s="220"/>
      <c r="G393" s="220"/>
      <c r="H393" s="220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</row>
    <row r="394" spans="1:29" ht="15.75" customHeight="1" x14ac:dyDescent="0.25">
      <c r="A394" s="219"/>
      <c r="B394" s="219"/>
      <c r="C394" s="220"/>
      <c r="D394" s="220"/>
      <c r="E394" s="220"/>
      <c r="F394" s="220"/>
      <c r="G394" s="220"/>
      <c r="H394" s="220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</row>
    <row r="395" spans="1:29" ht="15.75" customHeight="1" x14ac:dyDescent="0.25">
      <c r="A395" s="219"/>
      <c r="B395" s="219"/>
      <c r="C395" s="220"/>
      <c r="D395" s="220"/>
      <c r="E395" s="220"/>
      <c r="F395" s="220"/>
      <c r="G395" s="220"/>
      <c r="H395" s="220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  <c r="AC395" s="219"/>
    </row>
    <row r="396" spans="1:29" ht="15.75" customHeight="1" x14ac:dyDescent="0.25">
      <c r="A396" s="219"/>
      <c r="B396" s="219"/>
      <c r="C396" s="220"/>
      <c r="D396" s="220"/>
      <c r="E396" s="220"/>
      <c r="F396" s="220"/>
      <c r="G396" s="220"/>
      <c r="H396" s="220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  <c r="AB396" s="219"/>
      <c r="AC396" s="219"/>
    </row>
    <row r="397" spans="1:29" ht="15.75" customHeight="1" x14ac:dyDescent="0.25">
      <c r="A397" s="219"/>
      <c r="B397" s="219"/>
      <c r="C397" s="220"/>
      <c r="D397" s="220"/>
      <c r="E397" s="220"/>
      <c r="F397" s="220"/>
      <c r="G397" s="220"/>
      <c r="H397" s="220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19"/>
      <c r="AC397" s="219"/>
    </row>
    <row r="398" spans="1:29" ht="15.75" customHeight="1" x14ac:dyDescent="0.25">
      <c r="A398" s="219"/>
      <c r="B398" s="219"/>
      <c r="C398" s="220"/>
      <c r="D398" s="220"/>
      <c r="E398" s="220"/>
      <c r="F398" s="220"/>
      <c r="G398" s="220"/>
      <c r="H398" s="220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  <c r="AA398" s="219"/>
      <c r="AB398" s="219"/>
      <c r="AC398" s="219"/>
    </row>
    <row r="399" spans="1:29" ht="15.75" customHeight="1" x14ac:dyDescent="0.25">
      <c r="A399" s="219"/>
      <c r="B399" s="219"/>
      <c r="C399" s="220"/>
      <c r="D399" s="220"/>
      <c r="E399" s="220"/>
      <c r="F399" s="220"/>
      <c r="G399" s="220"/>
      <c r="H399" s="220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  <c r="AC399" s="219"/>
    </row>
    <row r="400" spans="1:29" ht="15.75" customHeight="1" x14ac:dyDescent="0.25">
      <c r="A400" s="219"/>
      <c r="B400" s="219"/>
      <c r="C400" s="220"/>
      <c r="D400" s="220"/>
      <c r="E400" s="220"/>
      <c r="F400" s="220"/>
      <c r="G400" s="220"/>
      <c r="H400" s="220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</row>
    <row r="401" spans="1:29" ht="15.75" customHeight="1" x14ac:dyDescent="0.25">
      <c r="A401" s="219"/>
      <c r="B401" s="219"/>
      <c r="C401" s="220"/>
      <c r="D401" s="220"/>
      <c r="E401" s="220"/>
      <c r="F401" s="220"/>
      <c r="G401" s="220"/>
      <c r="H401" s="220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19"/>
    </row>
    <row r="402" spans="1:29" ht="15.75" customHeight="1" x14ac:dyDescent="0.25">
      <c r="A402" s="219"/>
      <c r="B402" s="219"/>
      <c r="C402" s="220"/>
      <c r="D402" s="220"/>
      <c r="E402" s="220"/>
      <c r="F402" s="220"/>
      <c r="G402" s="220"/>
      <c r="H402" s="220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  <c r="AB402" s="219"/>
      <c r="AC402" s="219"/>
    </row>
    <row r="403" spans="1:29" ht="15.75" customHeight="1" x14ac:dyDescent="0.25">
      <c r="A403" s="219"/>
      <c r="B403" s="219"/>
      <c r="C403" s="220"/>
      <c r="D403" s="220"/>
      <c r="E403" s="220"/>
      <c r="F403" s="220"/>
      <c r="G403" s="220"/>
      <c r="H403" s="220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  <c r="AB403" s="219"/>
      <c r="AC403" s="219"/>
    </row>
    <row r="404" spans="1:29" ht="15.75" customHeight="1" x14ac:dyDescent="0.25">
      <c r="A404" s="219"/>
      <c r="B404" s="219"/>
      <c r="C404" s="220"/>
      <c r="D404" s="220"/>
      <c r="E404" s="220"/>
      <c r="F404" s="220"/>
      <c r="G404" s="220"/>
      <c r="H404" s="220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</row>
    <row r="405" spans="1:29" ht="15.75" customHeight="1" x14ac:dyDescent="0.25">
      <c r="A405" s="219"/>
      <c r="B405" s="219"/>
      <c r="C405" s="220"/>
      <c r="D405" s="220"/>
      <c r="E405" s="220"/>
      <c r="F405" s="220"/>
      <c r="G405" s="220"/>
      <c r="H405" s="220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</row>
    <row r="406" spans="1:29" ht="15.75" customHeight="1" x14ac:dyDescent="0.25">
      <c r="A406" s="219"/>
      <c r="B406" s="219"/>
      <c r="C406" s="220"/>
      <c r="D406" s="220"/>
      <c r="E406" s="220"/>
      <c r="F406" s="220"/>
      <c r="G406" s="220"/>
      <c r="H406" s="220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  <c r="AB406" s="219"/>
      <c r="AC406" s="219"/>
    </row>
    <row r="407" spans="1:29" ht="15.75" customHeight="1" x14ac:dyDescent="0.25">
      <c r="A407" s="219"/>
      <c r="B407" s="219"/>
      <c r="C407" s="220"/>
      <c r="D407" s="220"/>
      <c r="E407" s="220"/>
      <c r="F407" s="220"/>
      <c r="G407" s="220"/>
      <c r="H407" s="220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  <c r="AB407" s="219"/>
      <c r="AC407" s="219"/>
    </row>
    <row r="408" spans="1:29" ht="15.75" customHeight="1" x14ac:dyDescent="0.25">
      <c r="A408" s="219"/>
      <c r="B408" s="219"/>
      <c r="C408" s="220"/>
      <c r="D408" s="220"/>
      <c r="E408" s="220"/>
      <c r="F408" s="220"/>
      <c r="G408" s="220"/>
      <c r="H408" s="220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</row>
    <row r="409" spans="1:29" ht="15.75" customHeight="1" x14ac:dyDescent="0.25">
      <c r="A409" s="219"/>
      <c r="B409" s="219"/>
      <c r="C409" s="220"/>
      <c r="D409" s="220"/>
      <c r="E409" s="220"/>
      <c r="F409" s="220"/>
      <c r="G409" s="220"/>
      <c r="H409" s="220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  <c r="AC409" s="219"/>
    </row>
    <row r="410" spans="1:29" ht="15.75" customHeight="1" x14ac:dyDescent="0.25">
      <c r="A410" s="219"/>
      <c r="B410" s="219"/>
      <c r="C410" s="220"/>
      <c r="D410" s="220"/>
      <c r="E410" s="220"/>
      <c r="F410" s="220"/>
      <c r="G410" s="220"/>
      <c r="H410" s="220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  <c r="AC410" s="219"/>
    </row>
    <row r="411" spans="1:29" ht="15.75" customHeight="1" x14ac:dyDescent="0.25">
      <c r="A411" s="219"/>
      <c r="B411" s="219"/>
      <c r="C411" s="220"/>
      <c r="D411" s="220"/>
      <c r="E411" s="220"/>
      <c r="F411" s="220"/>
      <c r="G411" s="220"/>
      <c r="H411" s="220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  <c r="AC411" s="219"/>
    </row>
    <row r="412" spans="1:29" ht="15.75" customHeight="1" x14ac:dyDescent="0.25">
      <c r="A412" s="219"/>
      <c r="B412" s="219"/>
      <c r="C412" s="220"/>
      <c r="D412" s="220"/>
      <c r="E412" s="220"/>
      <c r="F412" s="220"/>
      <c r="G412" s="220"/>
      <c r="H412" s="220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</row>
    <row r="413" spans="1:29" ht="15.75" customHeight="1" x14ac:dyDescent="0.25">
      <c r="A413" s="219"/>
      <c r="B413" s="219"/>
      <c r="C413" s="220"/>
      <c r="D413" s="220"/>
      <c r="E413" s="220"/>
      <c r="F413" s="220"/>
      <c r="G413" s="220"/>
      <c r="H413" s="220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  <c r="AC413" s="219"/>
    </row>
    <row r="414" spans="1:29" ht="15.75" customHeight="1" x14ac:dyDescent="0.25">
      <c r="A414" s="219"/>
      <c r="B414" s="219"/>
      <c r="C414" s="220"/>
      <c r="D414" s="220"/>
      <c r="E414" s="220"/>
      <c r="F414" s="220"/>
      <c r="G414" s="220"/>
      <c r="H414" s="220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</row>
    <row r="415" spans="1:29" ht="15.75" customHeight="1" x14ac:dyDescent="0.25">
      <c r="A415" s="219"/>
      <c r="B415" s="219"/>
      <c r="C415" s="220"/>
      <c r="D415" s="220"/>
      <c r="E415" s="220"/>
      <c r="F415" s="220"/>
      <c r="G415" s="220"/>
      <c r="H415" s="220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</row>
    <row r="416" spans="1:29" ht="15.75" customHeight="1" x14ac:dyDescent="0.25">
      <c r="A416" s="219"/>
      <c r="B416" s="219"/>
      <c r="C416" s="220"/>
      <c r="D416" s="220"/>
      <c r="E416" s="220"/>
      <c r="F416" s="220"/>
      <c r="G416" s="220"/>
      <c r="H416" s="220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  <c r="AC416" s="219"/>
    </row>
    <row r="417" spans="1:29" ht="15.75" customHeight="1" x14ac:dyDescent="0.25">
      <c r="A417" s="219"/>
      <c r="B417" s="219"/>
      <c r="C417" s="220"/>
      <c r="D417" s="220"/>
      <c r="E417" s="220"/>
      <c r="F417" s="220"/>
      <c r="G417" s="220"/>
      <c r="H417" s="220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  <c r="AC417" s="219"/>
    </row>
    <row r="418" spans="1:29" ht="15.75" customHeight="1" x14ac:dyDescent="0.25">
      <c r="A418" s="219"/>
      <c r="B418" s="219"/>
      <c r="C418" s="220"/>
      <c r="D418" s="220"/>
      <c r="E418" s="220"/>
      <c r="F418" s="220"/>
      <c r="G418" s="220"/>
      <c r="H418" s="220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</row>
    <row r="419" spans="1:29" ht="15.75" customHeight="1" x14ac:dyDescent="0.25">
      <c r="A419" s="219"/>
      <c r="B419" s="219"/>
      <c r="C419" s="220"/>
      <c r="D419" s="220"/>
      <c r="E419" s="220"/>
      <c r="F419" s="220"/>
      <c r="G419" s="220"/>
      <c r="H419" s="220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</row>
    <row r="420" spans="1:29" ht="15.75" customHeight="1" x14ac:dyDescent="0.25">
      <c r="A420" s="219"/>
      <c r="B420" s="219"/>
      <c r="C420" s="220"/>
      <c r="D420" s="220"/>
      <c r="E420" s="220"/>
      <c r="F420" s="220"/>
      <c r="G420" s="220"/>
      <c r="H420" s="220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  <c r="AA420" s="219"/>
      <c r="AB420" s="219"/>
      <c r="AC420" s="219"/>
    </row>
    <row r="421" spans="1:29" ht="15.75" customHeight="1" x14ac:dyDescent="0.25">
      <c r="A421" s="219"/>
      <c r="B421" s="219"/>
      <c r="C421" s="220"/>
      <c r="D421" s="220"/>
      <c r="E421" s="220"/>
      <c r="F421" s="220"/>
      <c r="G421" s="220"/>
      <c r="H421" s="220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  <c r="AB421" s="219"/>
      <c r="AC421" s="219"/>
    </row>
    <row r="422" spans="1:29" ht="15.75" customHeight="1" x14ac:dyDescent="0.25">
      <c r="A422" s="219"/>
      <c r="B422" s="219"/>
      <c r="C422" s="220"/>
      <c r="D422" s="220"/>
      <c r="E422" s="220"/>
      <c r="F422" s="220"/>
      <c r="G422" s="220"/>
      <c r="H422" s="220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  <c r="AC422" s="219"/>
    </row>
    <row r="423" spans="1:29" ht="15.75" customHeight="1" x14ac:dyDescent="0.25">
      <c r="A423" s="219"/>
      <c r="B423" s="219"/>
      <c r="C423" s="220"/>
      <c r="D423" s="220"/>
      <c r="E423" s="220"/>
      <c r="F423" s="220"/>
      <c r="G423" s="220"/>
      <c r="H423" s="220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  <c r="AC423" s="219"/>
    </row>
    <row r="424" spans="1:29" ht="15.75" customHeight="1" x14ac:dyDescent="0.25">
      <c r="A424" s="219"/>
      <c r="B424" s="219"/>
      <c r="C424" s="220"/>
      <c r="D424" s="220"/>
      <c r="E424" s="220"/>
      <c r="F424" s="220"/>
      <c r="G424" s="220"/>
      <c r="H424" s="220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  <c r="AC424" s="219"/>
    </row>
    <row r="425" spans="1:29" ht="15.75" customHeight="1" x14ac:dyDescent="0.25">
      <c r="A425" s="219"/>
      <c r="B425" s="219"/>
      <c r="C425" s="220"/>
      <c r="D425" s="220"/>
      <c r="E425" s="220"/>
      <c r="F425" s="220"/>
      <c r="G425" s="220"/>
      <c r="H425" s="220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  <c r="AC425" s="219"/>
    </row>
    <row r="426" spans="1:29" ht="15.75" customHeight="1" x14ac:dyDescent="0.25">
      <c r="A426" s="219"/>
      <c r="B426" s="219"/>
      <c r="C426" s="220"/>
      <c r="D426" s="220"/>
      <c r="E426" s="220"/>
      <c r="F426" s="220"/>
      <c r="G426" s="220"/>
      <c r="H426" s="220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19"/>
    </row>
    <row r="427" spans="1:29" ht="15.75" customHeight="1" x14ac:dyDescent="0.25">
      <c r="A427" s="219"/>
      <c r="B427" s="219"/>
      <c r="C427" s="220"/>
      <c r="D427" s="220"/>
      <c r="E427" s="220"/>
      <c r="F427" s="220"/>
      <c r="G427" s="220"/>
      <c r="H427" s="220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19"/>
    </row>
    <row r="428" spans="1:29" ht="15.75" customHeight="1" x14ac:dyDescent="0.25">
      <c r="A428" s="219"/>
      <c r="B428" s="219"/>
      <c r="C428" s="220"/>
      <c r="D428" s="220"/>
      <c r="E428" s="220"/>
      <c r="F428" s="220"/>
      <c r="G428" s="220"/>
      <c r="H428" s="220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</row>
    <row r="429" spans="1:29" ht="15.75" customHeight="1" x14ac:dyDescent="0.25">
      <c r="A429" s="219"/>
      <c r="B429" s="219"/>
      <c r="C429" s="220"/>
      <c r="D429" s="220"/>
      <c r="E429" s="220"/>
      <c r="F429" s="220"/>
      <c r="G429" s="220"/>
      <c r="H429" s="220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  <c r="AC429" s="219"/>
    </row>
    <row r="430" spans="1:29" ht="15.75" customHeight="1" x14ac:dyDescent="0.25">
      <c r="A430" s="219"/>
      <c r="B430" s="219"/>
      <c r="C430" s="220"/>
      <c r="D430" s="220"/>
      <c r="E430" s="220"/>
      <c r="F430" s="220"/>
      <c r="G430" s="220"/>
      <c r="H430" s="220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  <c r="AB430" s="219"/>
      <c r="AC430" s="219"/>
    </row>
    <row r="431" spans="1:29" ht="15.75" customHeight="1" x14ac:dyDescent="0.25">
      <c r="A431" s="219"/>
      <c r="B431" s="219"/>
      <c r="C431" s="220"/>
      <c r="D431" s="220"/>
      <c r="E431" s="220"/>
      <c r="F431" s="220"/>
      <c r="G431" s="220"/>
      <c r="H431" s="220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  <c r="AC431" s="219"/>
    </row>
    <row r="432" spans="1:29" ht="15.75" customHeight="1" x14ac:dyDescent="0.25">
      <c r="A432" s="219"/>
      <c r="B432" s="219"/>
      <c r="C432" s="220"/>
      <c r="D432" s="220"/>
      <c r="E432" s="220"/>
      <c r="F432" s="220"/>
      <c r="G432" s="220"/>
      <c r="H432" s="220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</row>
    <row r="433" spans="1:29" ht="15.75" customHeight="1" x14ac:dyDescent="0.25">
      <c r="A433" s="219"/>
      <c r="B433" s="219"/>
      <c r="C433" s="220"/>
      <c r="D433" s="220"/>
      <c r="E433" s="220"/>
      <c r="F433" s="220"/>
      <c r="G433" s="220"/>
      <c r="H433" s="220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</row>
    <row r="434" spans="1:29" ht="15.75" customHeight="1" x14ac:dyDescent="0.25">
      <c r="A434" s="219"/>
      <c r="B434" s="219"/>
      <c r="C434" s="220"/>
      <c r="D434" s="220"/>
      <c r="E434" s="220"/>
      <c r="F434" s="220"/>
      <c r="G434" s="220"/>
      <c r="H434" s="220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</row>
    <row r="435" spans="1:29" ht="15.75" customHeight="1" x14ac:dyDescent="0.25">
      <c r="A435" s="219"/>
      <c r="B435" s="219"/>
      <c r="C435" s="220"/>
      <c r="D435" s="220"/>
      <c r="E435" s="220"/>
      <c r="F435" s="220"/>
      <c r="G435" s="220"/>
      <c r="H435" s="220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  <c r="AC435" s="219"/>
    </row>
    <row r="436" spans="1:29" ht="15.75" customHeight="1" x14ac:dyDescent="0.25">
      <c r="A436" s="219"/>
      <c r="B436" s="219"/>
      <c r="C436" s="220"/>
      <c r="D436" s="220"/>
      <c r="E436" s="220"/>
      <c r="F436" s="220"/>
      <c r="G436" s="220"/>
      <c r="H436" s="220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  <c r="AB436" s="219"/>
      <c r="AC436" s="219"/>
    </row>
    <row r="437" spans="1:29" ht="15.75" customHeight="1" x14ac:dyDescent="0.25">
      <c r="A437" s="219"/>
      <c r="B437" s="219"/>
      <c r="C437" s="220"/>
      <c r="D437" s="220"/>
      <c r="E437" s="220"/>
      <c r="F437" s="220"/>
      <c r="G437" s="220"/>
      <c r="H437" s="220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  <c r="AC437" s="219"/>
    </row>
    <row r="438" spans="1:29" ht="15.75" customHeight="1" x14ac:dyDescent="0.25">
      <c r="A438" s="219"/>
      <c r="B438" s="219"/>
      <c r="C438" s="220"/>
      <c r="D438" s="220"/>
      <c r="E438" s="220"/>
      <c r="F438" s="220"/>
      <c r="G438" s="220"/>
      <c r="H438" s="220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</row>
    <row r="439" spans="1:29" ht="15.75" customHeight="1" x14ac:dyDescent="0.25">
      <c r="A439" s="219"/>
      <c r="B439" s="219"/>
      <c r="C439" s="220"/>
      <c r="D439" s="220"/>
      <c r="E439" s="220"/>
      <c r="F439" s="220"/>
      <c r="G439" s="220"/>
      <c r="H439" s="220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  <c r="AC439" s="219"/>
    </row>
    <row r="440" spans="1:29" ht="15.75" customHeight="1" x14ac:dyDescent="0.25">
      <c r="A440" s="219"/>
      <c r="B440" s="219"/>
      <c r="C440" s="220"/>
      <c r="D440" s="220"/>
      <c r="E440" s="220"/>
      <c r="F440" s="220"/>
      <c r="G440" s="220"/>
      <c r="H440" s="220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</row>
    <row r="441" spans="1:29" ht="15.75" customHeight="1" x14ac:dyDescent="0.25">
      <c r="A441" s="219"/>
      <c r="B441" s="219"/>
      <c r="C441" s="220"/>
      <c r="D441" s="220"/>
      <c r="E441" s="220"/>
      <c r="F441" s="220"/>
      <c r="G441" s="220"/>
      <c r="H441" s="220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  <c r="AC441" s="219"/>
    </row>
    <row r="442" spans="1:29" ht="15.75" customHeight="1" x14ac:dyDescent="0.25">
      <c r="A442" s="219"/>
      <c r="B442" s="219"/>
      <c r="C442" s="220"/>
      <c r="D442" s="220"/>
      <c r="E442" s="220"/>
      <c r="F442" s="220"/>
      <c r="G442" s="220"/>
      <c r="H442" s="220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</row>
    <row r="443" spans="1:29" ht="15.75" customHeight="1" x14ac:dyDescent="0.25">
      <c r="A443" s="219"/>
      <c r="B443" s="219"/>
      <c r="C443" s="220"/>
      <c r="D443" s="220"/>
      <c r="E443" s="220"/>
      <c r="F443" s="220"/>
      <c r="G443" s="220"/>
      <c r="H443" s="220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</row>
    <row r="444" spans="1:29" ht="15.75" customHeight="1" x14ac:dyDescent="0.25">
      <c r="A444" s="219"/>
      <c r="B444" s="219"/>
      <c r="C444" s="220"/>
      <c r="D444" s="220"/>
      <c r="E444" s="220"/>
      <c r="F444" s="220"/>
      <c r="G444" s="220"/>
      <c r="H444" s="220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  <c r="AC444" s="219"/>
    </row>
    <row r="445" spans="1:29" ht="15.75" customHeight="1" x14ac:dyDescent="0.25">
      <c r="A445" s="219"/>
      <c r="B445" s="219"/>
      <c r="C445" s="220"/>
      <c r="D445" s="220"/>
      <c r="E445" s="220"/>
      <c r="F445" s="220"/>
      <c r="G445" s="220"/>
      <c r="H445" s="220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</row>
    <row r="446" spans="1:29" ht="15.75" customHeight="1" x14ac:dyDescent="0.25">
      <c r="A446" s="219"/>
      <c r="B446" s="219"/>
      <c r="C446" s="220"/>
      <c r="D446" s="220"/>
      <c r="E446" s="220"/>
      <c r="F446" s="220"/>
      <c r="G446" s="220"/>
      <c r="H446" s="220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</row>
    <row r="447" spans="1:29" ht="15.75" customHeight="1" x14ac:dyDescent="0.25">
      <c r="A447" s="219"/>
      <c r="B447" s="219"/>
      <c r="C447" s="220"/>
      <c r="D447" s="220"/>
      <c r="E447" s="220"/>
      <c r="F447" s="220"/>
      <c r="G447" s="220"/>
      <c r="H447" s="220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</row>
    <row r="448" spans="1:29" ht="15.75" customHeight="1" x14ac:dyDescent="0.25">
      <c r="A448" s="219"/>
      <c r="B448" s="219"/>
      <c r="C448" s="220"/>
      <c r="D448" s="220"/>
      <c r="E448" s="220"/>
      <c r="F448" s="220"/>
      <c r="G448" s="220"/>
      <c r="H448" s="220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  <c r="AC448" s="219"/>
    </row>
    <row r="449" spans="1:29" ht="15.75" customHeight="1" x14ac:dyDescent="0.25">
      <c r="A449" s="219"/>
      <c r="B449" s="219"/>
      <c r="C449" s="220"/>
      <c r="D449" s="220"/>
      <c r="E449" s="220"/>
      <c r="F449" s="220"/>
      <c r="G449" s="220"/>
      <c r="H449" s="220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  <c r="AB449" s="219"/>
      <c r="AC449" s="219"/>
    </row>
    <row r="450" spans="1:29" ht="15.75" customHeight="1" x14ac:dyDescent="0.25">
      <c r="A450" s="219"/>
      <c r="B450" s="219"/>
      <c r="C450" s="220"/>
      <c r="D450" s="220"/>
      <c r="E450" s="220"/>
      <c r="F450" s="220"/>
      <c r="G450" s="220"/>
      <c r="H450" s="220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  <c r="AB450" s="219"/>
      <c r="AC450" s="219"/>
    </row>
    <row r="451" spans="1:29" ht="15.75" customHeight="1" x14ac:dyDescent="0.25">
      <c r="A451" s="219"/>
      <c r="B451" s="219"/>
      <c r="C451" s="220"/>
      <c r="D451" s="220"/>
      <c r="E451" s="220"/>
      <c r="F451" s="220"/>
      <c r="G451" s="220"/>
      <c r="H451" s="220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  <c r="AC451" s="219"/>
    </row>
    <row r="452" spans="1:29" ht="15.75" customHeight="1" x14ac:dyDescent="0.25">
      <c r="A452" s="219"/>
      <c r="B452" s="219"/>
      <c r="C452" s="220"/>
      <c r="D452" s="220"/>
      <c r="E452" s="220"/>
      <c r="F452" s="220"/>
      <c r="G452" s="220"/>
      <c r="H452" s="220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  <c r="AB452" s="219"/>
      <c r="AC452" s="219"/>
    </row>
    <row r="453" spans="1:29" ht="15.75" customHeight="1" x14ac:dyDescent="0.25">
      <c r="A453" s="219"/>
      <c r="B453" s="219"/>
      <c r="C453" s="220"/>
      <c r="D453" s="220"/>
      <c r="E453" s="220"/>
      <c r="F453" s="220"/>
      <c r="G453" s="220"/>
      <c r="H453" s="220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  <c r="AC453" s="219"/>
    </row>
    <row r="454" spans="1:29" ht="15.75" customHeight="1" x14ac:dyDescent="0.25">
      <c r="A454" s="219"/>
      <c r="B454" s="219"/>
      <c r="C454" s="220"/>
      <c r="D454" s="220"/>
      <c r="E454" s="220"/>
      <c r="F454" s="220"/>
      <c r="G454" s="220"/>
      <c r="H454" s="220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  <c r="AC454" s="219"/>
    </row>
    <row r="455" spans="1:29" ht="15.75" customHeight="1" x14ac:dyDescent="0.25">
      <c r="A455" s="219"/>
      <c r="B455" s="219"/>
      <c r="C455" s="220"/>
      <c r="D455" s="220"/>
      <c r="E455" s="220"/>
      <c r="F455" s="220"/>
      <c r="G455" s="220"/>
      <c r="H455" s="220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  <c r="AC455" s="219"/>
    </row>
    <row r="456" spans="1:29" ht="15.75" customHeight="1" x14ac:dyDescent="0.25">
      <c r="A456" s="219"/>
      <c r="B456" s="219"/>
      <c r="C456" s="220"/>
      <c r="D456" s="220"/>
      <c r="E456" s="220"/>
      <c r="F456" s="220"/>
      <c r="G456" s="220"/>
      <c r="H456" s="220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</row>
    <row r="457" spans="1:29" ht="15.75" customHeight="1" x14ac:dyDescent="0.25">
      <c r="A457" s="219"/>
      <c r="B457" s="219"/>
      <c r="C457" s="220"/>
      <c r="D457" s="220"/>
      <c r="E457" s="220"/>
      <c r="F457" s="220"/>
      <c r="G457" s="220"/>
      <c r="H457" s="220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</row>
    <row r="458" spans="1:29" ht="15.75" customHeight="1" x14ac:dyDescent="0.25">
      <c r="A458" s="219"/>
      <c r="B458" s="219"/>
      <c r="C458" s="220"/>
      <c r="D458" s="220"/>
      <c r="E458" s="220"/>
      <c r="F458" s="220"/>
      <c r="G458" s="220"/>
      <c r="H458" s="220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</row>
    <row r="459" spans="1:29" ht="15.75" customHeight="1" x14ac:dyDescent="0.25">
      <c r="A459" s="219"/>
      <c r="B459" s="219"/>
      <c r="C459" s="220"/>
      <c r="D459" s="220"/>
      <c r="E459" s="220"/>
      <c r="F459" s="220"/>
      <c r="G459" s="220"/>
      <c r="H459" s="220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</row>
    <row r="460" spans="1:29" ht="15.75" customHeight="1" x14ac:dyDescent="0.25">
      <c r="A460" s="219"/>
      <c r="B460" s="219"/>
      <c r="C460" s="220"/>
      <c r="D460" s="220"/>
      <c r="E460" s="220"/>
      <c r="F460" s="220"/>
      <c r="G460" s="220"/>
      <c r="H460" s="220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</row>
    <row r="461" spans="1:29" ht="15.75" customHeight="1" x14ac:dyDescent="0.25">
      <c r="A461" s="219"/>
      <c r="B461" s="219"/>
      <c r="C461" s="220"/>
      <c r="D461" s="220"/>
      <c r="E461" s="220"/>
      <c r="F461" s="220"/>
      <c r="G461" s="220"/>
      <c r="H461" s="220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</row>
    <row r="462" spans="1:29" ht="15.75" customHeight="1" x14ac:dyDescent="0.25">
      <c r="A462" s="219"/>
      <c r="B462" s="219"/>
      <c r="C462" s="220"/>
      <c r="D462" s="220"/>
      <c r="E462" s="220"/>
      <c r="F462" s="220"/>
      <c r="G462" s="220"/>
      <c r="H462" s="220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19"/>
    </row>
    <row r="463" spans="1:29" ht="15.75" customHeight="1" x14ac:dyDescent="0.25">
      <c r="A463" s="219"/>
      <c r="B463" s="219"/>
      <c r="C463" s="220"/>
      <c r="D463" s="220"/>
      <c r="E463" s="220"/>
      <c r="F463" s="220"/>
      <c r="G463" s="220"/>
      <c r="H463" s="220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</row>
    <row r="464" spans="1:29" ht="15.75" customHeight="1" x14ac:dyDescent="0.25">
      <c r="A464" s="219"/>
      <c r="B464" s="219"/>
      <c r="C464" s="220"/>
      <c r="D464" s="220"/>
      <c r="E464" s="220"/>
      <c r="F464" s="220"/>
      <c r="G464" s="220"/>
      <c r="H464" s="220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</row>
    <row r="465" spans="1:29" ht="15.75" customHeight="1" x14ac:dyDescent="0.25">
      <c r="A465" s="219"/>
      <c r="B465" s="219"/>
      <c r="C465" s="220"/>
      <c r="D465" s="220"/>
      <c r="E465" s="220"/>
      <c r="F465" s="220"/>
      <c r="G465" s="220"/>
      <c r="H465" s="220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</row>
    <row r="466" spans="1:29" ht="15.75" customHeight="1" x14ac:dyDescent="0.25">
      <c r="A466" s="219"/>
      <c r="B466" s="219"/>
      <c r="C466" s="220"/>
      <c r="D466" s="220"/>
      <c r="E466" s="220"/>
      <c r="F466" s="220"/>
      <c r="G466" s="220"/>
      <c r="H466" s="220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</row>
    <row r="467" spans="1:29" ht="15.75" customHeight="1" x14ac:dyDescent="0.25">
      <c r="A467" s="219"/>
      <c r="B467" s="219"/>
      <c r="C467" s="220"/>
      <c r="D467" s="220"/>
      <c r="E467" s="220"/>
      <c r="F467" s="220"/>
      <c r="G467" s="220"/>
      <c r="H467" s="220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</row>
    <row r="468" spans="1:29" ht="15.75" customHeight="1" x14ac:dyDescent="0.25">
      <c r="A468" s="219"/>
      <c r="B468" s="219"/>
      <c r="C468" s="220"/>
      <c r="D468" s="220"/>
      <c r="E468" s="220"/>
      <c r="F468" s="220"/>
      <c r="G468" s="220"/>
      <c r="H468" s="220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</row>
    <row r="469" spans="1:29" ht="15.75" customHeight="1" x14ac:dyDescent="0.25">
      <c r="A469" s="219"/>
      <c r="B469" s="219"/>
      <c r="C469" s="220"/>
      <c r="D469" s="220"/>
      <c r="E469" s="220"/>
      <c r="F469" s="220"/>
      <c r="G469" s="220"/>
      <c r="H469" s="220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</row>
    <row r="470" spans="1:29" ht="15.75" customHeight="1" x14ac:dyDescent="0.25">
      <c r="A470" s="219"/>
      <c r="B470" s="219"/>
      <c r="C470" s="220"/>
      <c r="D470" s="220"/>
      <c r="E470" s="220"/>
      <c r="F470" s="220"/>
      <c r="G470" s="220"/>
      <c r="H470" s="220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</row>
    <row r="471" spans="1:29" ht="15.75" customHeight="1" x14ac:dyDescent="0.25">
      <c r="A471" s="219"/>
      <c r="B471" s="219"/>
      <c r="C471" s="220"/>
      <c r="D471" s="220"/>
      <c r="E471" s="220"/>
      <c r="F471" s="220"/>
      <c r="G471" s="220"/>
      <c r="H471" s="220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</row>
    <row r="472" spans="1:29" ht="15.75" customHeight="1" x14ac:dyDescent="0.25">
      <c r="A472" s="219"/>
      <c r="B472" s="219"/>
      <c r="C472" s="220"/>
      <c r="D472" s="220"/>
      <c r="E472" s="220"/>
      <c r="F472" s="220"/>
      <c r="G472" s="220"/>
      <c r="H472" s="220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  <c r="AB472" s="219"/>
      <c r="AC472" s="219"/>
    </row>
    <row r="473" spans="1:29" ht="15.75" customHeight="1" x14ac:dyDescent="0.25">
      <c r="A473" s="219"/>
      <c r="B473" s="219"/>
      <c r="C473" s="220"/>
      <c r="D473" s="220"/>
      <c r="E473" s="220"/>
      <c r="F473" s="220"/>
      <c r="G473" s="220"/>
      <c r="H473" s="220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19"/>
    </row>
    <row r="474" spans="1:29" ht="15.75" customHeight="1" x14ac:dyDescent="0.25">
      <c r="A474" s="219"/>
      <c r="B474" s="219"/>
      <c r="C474" s="220"/>
      <c r="D474" s="220"/>
      <c r="E474" s="220"/>
      <c r="F474" s="220"/>
      <c r="G474" s="220"/>
      <c r="H474" s="220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  <c r="AB474" s="219"/>
      <c r="AC474" s="219"/>
    </row>
    <row r="475" spans="1:29" ht="15.75" customHeight="1" x14ac:dyDescent="0.25">
      <c r="A475" s="219"/>
      <c r="B475" s="219"/>
      <c r="C475" s="220"/>
      <c r="D475" s="220"/>
      <c r="E475" s="220"/>
      <c r="F475" s="220"/>
      <c r="G475" s="220"/>
      <c r="H475" s="220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19"/>
    </row>
    <row r="476" spans="1:29" ht="15.75" customHeight="1" x14ac:dyDescent="0.25">
      <c r="A476" s="219"/>
      <c r="B476" s="219"/>
      <c r="C476" s="220"/>
      <c r="D476" s="220"/>
      <c r="E476" s="220"/>
      <c r="F476" s="220"/>
      <c r="G476" s="220"/>
      <c r="H476" s="220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  <c r="AA476" s="219"/>
      <c r="AB476" s="219"/>
      <c r="AC476" s="219"/>
    </row>
    <row r="477" spans="1:29" ht="15.75" customHeight="1" x14ac:dyDescent="0.25">
      <c r="A477" s="219"/>
      <c r="B477" s="219"/>
      <c r="C477" s="220"/>
      <c r="D477" s="220"/>
      <c r="E477" s="220"/>
      <c r="F477" s="220"/>
      <c r="G477" s="220"/>
      <c r="H477" s="220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  <c r="AB477" s="219"/>
      <c r="AC477" s="219"/>
    </row>
    <row r="478" spans="1:29" ht="15.75" customHeight="1" x14ac:dyDescent="0.25">
      <c r="A478" s="219"/>
      <c r="B478" s="219"/>
      <c r="C478" s="220"/>
      <c r="D478" s="220"/>
      <c r="E478" s="220"/>
      <c r="F478" s="220"/>
      <c r="G478" s="220"/>
      <c r="H478" s="220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19"/>
    </row>
    <row r="479" spans="1:29" ht="15.75" customHeight="1" x14ac:dyDescent="0.25">
      <c r="A479" s="219"/>
      <c r="B479" s="219"/>
      <c r="C479" s="220"/>
      <c r="D479" s="220"/>
      <c r="E479" s="220"/>
      <c r="F479" s="220"/>
      <c r="G479" s="220"/>
      <c r="H479" s="220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</row>
    <row r="480" spans="1:29" ht="15.75" customHeight="1" x14ac:dyDescent="0.25">
      <c r="A480" s="219"/>
      <c r="B480" s="219"/>
      <c r="C480" s="220"/>
      <c r="D480" s="220"/>
      <c r="E480" s="220"/>
      <c r="F480" s="220"/>
      <c r="G480" s="220"/>
      <c r="H480" s="220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</row>
    <row r="481" spans="1:29" ht="15.75" customHeight="1" x14ac:dyDescent="0.25">
      <c r="A481" s="219"/>
      <c r="B481" s="219"/>
      <c r="C481" s="220"/>
      <c r="D481" s="220"/>
      <c r="E481" s="220"/>
      <c r="F481" s="220"/>
      <c r="G481" s="220"/>
      <c r="H481" s="220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19"/>
    </row>
    <row r="482" spans="1:29" ht="15.75" customHeight="1" x14ac:dyDescent="0.25">
      <c r="A482" s="219"/>
      <c r="B482" s="219"/>
      <c r="C482" s="220"/>
      <c r="D482" s="220"/>
      <c r="E482" s="220"/>
      <c r="F482" s="220"/>
      <c r="G482" s="220"/>
      <c r="H482" s="220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19"/>
    </row>
    <row r="483" spans="1:29" ht="15.75" customHeight="1" x14ac:dyDescent="0.25">
      <c r="A483" s="219"/>
      <c r="B483" s="219"/>
      <c r="C483" s="220"/>
      <c r="D483" s="220"/>
      <c r="E483" s="220"/>
      <c r="F483" s="220"/>
      <c r="G483" s="220"/>
      <c r="H483" s="220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</row>
    <row r="484" spans="1:29" ht="15.75" customHeight="1" x14ac:dyDescent="0.25">
      <c r="A484" s="219"/>
      <c r="B484" s="219"/>
      <c r="C484" s="220"/>
      <c r="D484" s="220"/>
      <c r="E484" s="220"/>
      <c r="F484" s="220"/>
      <c r="G484" s="220"/>
      <c r="H484" s="220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</row>
    <row r="485" spans="1:29" ht="15.75" customHeight="1" x14ac:dyDescent="0.25">
      <c r="A485" s="219"/>
      <c r="B485" s="219"/>
      <c r="C485" s="220"/>
      <c r="D485" s="220"/>
      <c r="E485" s="220"/>
      <c r="F485" s="220"/>
      <c r="G485" s="220"/>
      <c r="H485" s="220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</row>
    <row r="486" spans="1:29" ht="15.75" customHeight="1" x14ac:dyDescent="0.25">
      <c r="A486" s="219"/>
      <c r="B486" s="219"/>
      <c r="C486" s="220"/>
      <c r="D486" s="220"/>
      <c r="E486" s="220"/>
      <c r="F486" s="220"/>
      <c r="G486" s="220"/>
      <c r="H486" s="220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19"/>
    </row>
    <row r="487" spans="1:29" ht="15.75" customHeight="1" x14ac:dyDescent="0.25">
      <c r="A487" s="219"/>
      <c r="B487" s="219"/>
      <c r="C487" s="220"/>
      <c r="D487" s="220"/>
      <c r="E487" s="220"/>
      <c r="F487" s="220"/>
      <c r="G487" s="220"/>
      <c r="H487" s="220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</row>
    <row r="488" spans="1:29" ht="15.75" customHeight="1" x14ac:dyDescent="0.25">
      <c r="A488" s="219"/>
      <c r="B488" s="219"/>
      <c r="C488" s="220"/>
      <c r="D488" s="220"/>
      <c r="E488" s="220"/>
      <c r="F488" s="220"/>
      <c r="G488" s="220"/>
      <c r="H488" s="220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19"/>
    </row>
    <row r="489" spans="1:29" ht="15.75" customHeight="1" x14ac:dyDescent="0.25">
      <c r="A489" s="219"/>
      <c r="B489" s="219"/>
      <c r="C489" s="220"/>
      <c r="D489" s="220"/>
      <c r="E489" s="220"/>
      <c r="F489" s="220"/>
      <c r="G489" s="220"/>
      <c r="H489" s="220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</row>
    <row r="490" spans="1:29" ht="15.75" customHeight="1" x14ac:dyDescent="0.25">
      <c r="A490" s="219"/>
      <c r="B490" s="219"/>
      <c r="C490" s="220"/>
      <c r="D490" s="220"/>
      <c r="E490" s="220"/>
      <c r="F490" s="220"/>
      <c r="G490" s="220"/>
      <c r="H490" s="220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19"/>
    </row>
    <row r="491" spans="1:29" ht="15.75" customHeight="1" x14ac:dyDescent="0.25">
      <c r="A491" s="219"/>
      <c r="B491" s="219"/>
      <c r="C491" s="220"/>
      <c r="D491" s="220"/>
      <c r="E491" s="220"/>
      <c r="F491" s="220"/>
      <c r="G491" s="220"/>
      <c r="H491" s="220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</row>
    <row r="492" spans="1:29" ht="15.75" customHeight="1" x14ac:dyDescent="0.25">
      <c r="A492" s="219"/>
      <c r="B492" s="219"/>
      <c r="C492" s="220"/>
      <c r="D492" s="220"/>
      <c r="E492" s="220"/>
      <c r="F492" s="220"/>
      <c r="G492" s="220"/>
      <c r="H492" s="220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  <c r="AA492" s="219"/>
      <c r="AB492" s="219"/>
      <c r="AC492" s="219"/>
    </row>
    <row r="493" spans="1:29" ht="15.75" customHeight="1" x14ac:dyDescent="0.25">
      <c r="A493" s="219"/>
      <c r="B493" s="219"/>
      <c r="C493" s="220"/>
      <c r="D493" s="220"/>
      <c r="E493" s="220"/>
      <c r="F493" s="220"/>
      <c r="G493" s="220"/>
      <c r="H493" s="220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  <c r="AB493" s="219"/>
      <c r="AC493" s="219"/>
    </row>
    <row r="494" spans="1:29" ht="15.75" customHeight="1" x14ac:dyDescent="0.25">
      <c r="A494" s="219"/>
      <c r="B494" s="219"/>
      <c r="C494" s="220"/>
      <c r="D494" s="220"/>
      <c r="E494" s="220"/>
      <c r="F494" s="220"/>
      <c r="G494" s="220"/>
      <c r="H494" s="220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  <c r="AB494" s="219"/>
      <c r="AC494" s="219"/>
    </row>
    <row r="495" spans="1:29" ht="15.75" customHeight="1" x14ac:dyDescent="0.25">
      <c r="A495" s="219"/>
      <c r="B495" s="219"/>
      <c r="C495" s="220"/>
      <c r="D495" s="220"/>
      <c r="E495" s="220"/>
      <c r="F495" s="220"/>
      <c r="G495" s="220"/>
      <c r="H495" s="220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</row>
    <row r="496" spans="1:29" ht="15.75" customHeight="1" x14ac:dyDescent="0.25">
      <c r="A496" s="219"/>
      <c r="B496" s="219"/>
      <c r="C496" s="220"/>
      <c r="D496" s="220"/>
      <c r="E496" s="220"/>
      <c r="F496" s="220"/>
      <c r="G496" s="220"/>
      <c r="H496" s="220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</row>
    <row r="497" spans="1:29" ht="15.75" customHeight="1" x14ac:dyDescent="0.25">
      <c r="A497" s="219"/>
      <c r="B497" s="219"/>
      <c r="C497" s="220"/>
      <c r="D497" s="220"/>
      <c r="E497" s="220"/>
      <c r="F497" s="220"/>
      <c r="G497" s="220"/>
      <c r="H497" s="220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</row>
    <row r="498" spans="1:29" ht="15.75" customHeight="1" x14ac:dyDescent="0.25">
      <c r="A498" s="219"/>
      <c r="B498" s="219"/>
      <c r="C498" s="220"/>
      <c r="D498" s="220"/>
      <c r="E498" s="220"/>
      <c r="F498" s="220"/>
      <c r="G498" s="220"/>
      <c r="H498" s="220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</row>
    <row r="499" spans="1:29" ht="15.75" customHeight="1" x14ac:dyDescent="0.25">
      <c r="A499" s="219"/>
      <c r="B499" s="219"/>
      <c r="C499" s="220"/>
      <c r="D499" s="220"/>
      <c r="E499" s="220"/>
      <c r="F499" s="220"/>
      <c r="G499" s="220"/>
      <c r="H499" s="220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</row>
    <row r="500" spans="1:29" ht="15.75" customHeight="1" x14ac:dyDescent="0.25">
      <c r="A500" s="219"/>
      <c r="B500" s="219"/>
      <c r="C500" s="220"/>
      <c r="D500" s="220"/>
      <c r="E500" s="220"/>
      <c r="F500" s="220"/>
      <c r="G500" s="220"/>
      <c r="H500" s="220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</row>
    <row r="501" spans="1:29" ht="15.75" customHeight="1" x14ac:dyDescent="0.25">
      <c r="A501" s="219"/>
      <c r="B501" s="219"/>
      <c r="C501" s="220"/>
      <c r="D501" s="220"/>
      <c r="E501" s="220"/>
      <c r="F501" s="220"/>
      <c r="G501" s="220"/>
      <c r="H501" s="220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</row>
    <row r="502" spans="1:29" ht="15.75" customHeight="1" x14ac:dyDescent="0.25">
      <c r="A502" s="219"/>
      <c r="B502" s="219"/>
      <c r="C502" s="220"/>
      <c r="D502" s="220"/>
      <c r="E502" s="220"/>
      <c r="F502" s="220"/>
      <c r="G502" s="220"/>
      <c r="H502" s="220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</row>
    <row r="503" spans="1:29" ht="15.75" customHeight="1" x14ac:dyDescent="0.25">
      <c r="A503" s="219"/>
      <c r="B503" s="219"/>
      <c r="C503" s="220"/>
      <c r="D503" s="220"/>
      <c r="E503" s="220"/>
      <c r="F503" s="220"/>
      <c r="G503" s="220"/>
      <c r="H503" s="220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</row>
    <row r="504" spans="1:29" ht="15.75" customHeight="1" x14ac:dyDescent="0.25">
      <c r="A504" s="219"/>
      <c r="B504" s="219"/>
      <c r="C504" s="220"/>
      <c r="D504" s="220"/>
      <c r="E504" s="220"/>
      <c r="F504" s="220"/>
      <c r="G504" s="220"/>
      <c r="H504" s="220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</row>
    <row r="505" spans="1:29" ht="15.75" customHeight="1" x14ac:dyDescent="0.25">
      <c r="A505" s="219"/>
      <c r="B505" s="219"/>
      <c r="C505" s="220"/>
      <c r="D505" s="220"/>
      <c r="E505" s="220"/>
      <c r="F505" s="220"/>
      <c r="G505" s="220"/>
      <c r="H505" s="220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  <c r="AA505" s="219"/>
      <c r="AB505" s="219"/>
      <c r="AC505" s="219"/>
    </row>
    <row r="506" spans="1:29" ht="15.75" customHeight="1" x14ac:dyDescent="0.25">
      <c r="A506" s="219"/>
      <c r="B506" s="219"/>
      <c r="C506" s="220"/>
      <c r="D506" s="220"/>
      <c r="E506" s="220"/>
      <c r="F506" s="220"/>
      <c r="G506" s="220"/>
      <c r="H506" s="220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19"/>
      <c r="AB506" s="219"/>
      <c r="AC506" s="219"/>
    </row>
    <row r="507" spans="1:29" ht="15.75" customHeight="1" x14ac:dyDescent="0.25">
      <c r="A507" s="219"/>
      <c r="B507" s="219"/>
      <c r="C507" s="220"/>
      <c r="D507" s="220"/>
      <c r="E507" s="220"/>
      <c r="F507" s="220"/>
      <c r="G507" s="220"/>
      <c r="H507" s="220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</row>
    <row r="508" spans="1:29" ht="15.75" customHeight="1" x14ac:dyDescent="0.25">
      <c r="A508" s="219"/>
      <c r="B508" s="219"/>
      <c r="C508" s="220"/>
      <c r="D508" s="220"/>
      <c r="E508" s="220"/>
      <c r="F508" s="220"/>
      <c r="G508" s="220"/>
      <c r="H508" s="220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</row>
    <row r="509" spans="1:29" ht="15.75" customHeight="1" x14ac:dyDescent="0.25">
      <c r="A509" s="219"/>
      <c r="B509" s="219"/>
      <c r="C509" s="220"/>
      <c r="D509" s="220"/>
      <c r="E509" s="220"/>
      <c r="F509" s="220"/>
      <c r="G509" s="220"/>
      <c r="H509" s="220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</row>
    <row r="510" spans="1:29" ht="15.75" customHeight="1" x14ac:dyDescent="0.25">
      <c r="A510" s="219"/>
      <c r="B510" s="219"/>
      <c r="C510" s="220"/>
      <c r="D510" s="220"/>
      <c r="E510" s="220"/>
      <c r="F510" s="220"/>
      <c r="G510" s="220"/>
      <c r="H510" s="220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</row>
    <row r="511" spans="1:29" ht="15.75" customHeight="1" x14ac:dyDescent="0.25">
      <c r="A511" s="219"/>
      <c r="B511" s="219"/>
      <c r="C511" s="220"/>
      <c r="D511" s="220"/>
      <c r="E511" s="220"/>
      <c r="F511" s="220"/>
      <c r="G511" s="220"/>
      <c r="H511" s="220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</row>
    <row r="512" spans="1:29" ht="15.75" customHeight="1" x14ac:dyDescent="0.25">
      <c r="A512" s="219"/>
      <c r="B512" s="219"/>
      <c r="C512" s="220"/>
      <c r="D512" s="220"/>
      <c r="E512" s="220"/>
      <c r="F512" s="220"/>
      <c r="G512" s="220"/>
      <c r="H512" s="220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</row>
    <row r="513" spans="1:29" ht="15.75" customHeight="1" x14ac:dyDescent="0.25">
      <c r="A513" s="219"/>
      <c r="B513" s="219"/>
      <c r="C513" s="220"/>
      <c r="D513" s="220"/>
      <c r="E513" s="220"/>
      <c r="F513" s="220"/>
      <c r="G513" s="220"/>
      <c r="H513" s="220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</row>
    <row r="514" spans="1:29" ht="15.75" customHeight="1" x14ac:dyDescent="0.25">
      <c r="A514" s="219"/>
      <c r="B514" s="219"/>
      <c r="C514" s="220"/>
      <c r="D514" s="220"/>
      <c r="E514" s="220"/>
      <c r="F514" s="220"/>
      <c r="G514" s="220"/>
      <c r="H514" s="220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</row>
    <row r="515" spans="1:29" ht="15.75" customHeight="1" x14ac:dyDescent="0.25">
      <c r="A515" s="219"/>
      <c r="B515" s="219"/>
      <c r="C515" s="220"/>
      <c r="D515" s="220"/>
      <c r="E515" s="220"/>
      <c r="F515" s="220"/>
      <c r="G515" s="220"/>
      <c r="H515" s="220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</row>
    <row r="516" spans="1:29" ht="15.75" customHeight="1" x14ac:dyDescent="0.25">
      <c r="A516" s="219"/>
      <c r="B516" s="219"/>
      <c r="C516" s="220"/>
      <c r="D516" s="220"/>
      <c r="E516" s="220"/>
      <c r="F516" s="220"/>
      <c r="G516" s="220"/>
      <c r="H516" s="220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</row>
    <row r="517" spans="1:29" ht="15.75" customHeight="1" x14ac:dyDescent="0.25">
      <c r="A517" s="219"/>
      <c r="B517" s="219"/>
      <c r="C517" s="220"/>
      <c r="D517" s="220"/>
      <c r="E517" s="220"/>
      <c r="F517" s="220"/>
      <c r="G517" s="220"/>
      <c r="H517" s="220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</row>
    <row r="518" spans="1:29" ht="15.75" customHeight="1" x14ac:dyDescent="0.25">
      <c r="A518" s="219"/>
      <c r="B518" s="219"/>
      <c r="C518" s="220"/>
      <c r="D518" s="220"/>
      <c r="E518" s="220"/>
      <c r="F518" s="220"/>
      <c r="G518" s="220"/>
      <c r="H518" s="220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</row>
    <row r="519" spans="1:29" ht="15.75" customHeight="1" x14ac:dyDescent="0.25">
      <c r="A519" s="219"/>
      <c r="B519" s="219"/>
      <c r="C519" s="220"/>
      <c r="D519" s="220"/>
      <c r="E519" s="220"/>
      <c r="F519" s="220"/>
      <c r="G519" s="220"/>
      <c r="H519" s="220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</row>
    <row r="520" spans="1:29" ht="15.75" customHeight="1" x14ac:dyDescent="0.25">
      <c r="A520" s="219"/>
      <c r="B520" s="219"/>
      <c r="C520" s="220"/>
      <c r="D520" s="220"/>
      <c r="E520" s="220"/>
      <c r="F520" s="220"/>
      <c r="G520" s="220"/>
      <c r="H520" s="220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</row>
    <row r="521" spans="1:29" ht="15.75" customHeight="1" x14ac:dyDescent="0.25">
      <c r="A521" s="219"/>
      <c r="B521" s="219"/>
      <c r="C521" s="220"/>
      <c r="D521" s="220"/>
      <c r="E521" s="220"/>
      <c r="F521" s="220"/>
      <c r="G521" s="220"/>
      <c r="H521" s="220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19"/>
    </row>
    <row r="522" spans="1:29" ht="15.75" customHeight="1" x14ac:dyDescent="0.25">
      <c r="A522" s="219"/>
      <c r="B522" s="219"/>
      <c r="C522" s="220"/>
      <c r="D522" s="220"/>
      <c r="E522" s="220"/>
      <c r="F522" s="220"/>
      <c r="G522" s="220"/>
      <c r="H522" s="220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219"/>
    </row>
    <row r="523" spans="1:29" ht="15.75" customHeight="1" x14ac:dyDescent="0.25">
      <c r="A523" s="219"/>
      <c r="B523" s="219"/>
      <c r="C523" s="220"/>
      <c r="D523" s="220"/>
      <c r="E523" s="220"/>
      <c r="F523" s="220"/>
      <c r="G523" s="220"/>
      <c r="H523" s="220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19"/>
    </row>
    <row r="524" spans="1:29" ht="15.75" customHeight="1" x14ac:dyDescent="0.25">
      <c r="A524" s="219"/>
      <c r="B524" s="219"/>
      <c r="C524" s="220"/>
      <c r="D524" s="220"/>
      <c r="E524" s="220"/>
      <c r="F524" s="220"/>
      <c r="G524" s="220"/>
      <c r="H524" s="220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  <c r="AC524" s="219"/>
    </row>
    <row r="525" spans="1:29" ht="15.75" customHeight="1" x14ac:dyDescent="0.25">
      <c r="A525" s="219"/>
      <c r="B525" s="219"/>
      <c r="C525" s="220"/>
      <c r="D525" s="220"/>
      <c r="E525" s="220"/>
      <c r="F525" s="220"/>
      <c r="G525" s="220"/>
      <c r="H525" s="220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  <c r="AB525" s="219"/>
      <c r="AC525" s="219"/>
    </row>
    <row r="526" spans="1:29" ht="15.75" customHeight="1" x14ac:dyDescent="0.25">
      <c r="A526" s="219"/>
      <c r="B526" s="219"/>
      <c r="C526" s="220"/>
      <c r="D526" s="220"/>
      <c r="E526" s="220"/>
      <c r="F526" s="220"/>
      <c r="G526" s="220"/>
      <c r="H526" s="220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  <c r="AB526" s="219"/>
      <c r="AC526" s="219"/>
    </row>
    <row r="527" spans="1:29" ht="15.75" customHeight="1" x14ac:dyDescent="0.25">
      <c r="A527" s="219"/>
      <c r="B527" s="219"/>
      <c r="C527" s="220"/>
      <c r="D527" s="220"/>
      <c r="E527" s="220"/>
      <c r="F527" s="220"/>
      <c r="G527" s="220"/>
      <c r="H527" s="220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  <c r="AA527" s="219"/>
      <c r="AB527" s="219"/>
      <c r="AC527" s="219"/>
    </row>
    <row r="528" spans="1:29" ht="15.75" customHeight="1" x14ac:dyDescent="0.25">
      <c r="A528" s="219"/>
      <c r="B528" s="219"/>
      <c r="C528" s="220"/>
      <c r="D528" s="220"/>
      <c r="E528" s="220"/>
      <c r="F528" s="220"/>
      <c r="G528" s="220"/>
      <c r="H528" s="220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  <c r="AC528" s="219"/>
    </row>
    <row r="529" spans="1:29" ht="15.75" customHeight="1" x14ac:dyDescent="0.25">
      <c r="A529" s="219"/>
      <c r="B529" s="219"/>
      <c r="C529" s="220"/>
      <c r="D529" s="220"/>
      <c r="E529" s="220"/>
      <c r="F529" s="220"/>
      <c r="G529" s="220"/>
      <c r="H529" s="220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19"/>
      <c r="AB529" s="219"/>
      <c r="AC529" s="219"/>
    </row>
    <row r="530" spans="1:29" ht="15.75" customHeight="1" x14ac:dyDescent="0.25">
      <c r="A530" s="219"/>
      <c r="B530" s="219"/>
      <c r="C530" s="220"/>
      <c r="D530" s="220"/>
      <c r="E530" s="220"/>
      <c r="F530" s="220"/>
      <c r="G530" s="220"/>
      <c r="H530" s="220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</row>
    <row r="531" spans="1:29" ht="15.75" customHeight="1" x14ac:dyDescent="0.25">
      <c r="A531" s="219"/>
      <c r="B531" s="219"/>
      <c r="C531" s="220"/>
      <c r="D531" s="220"/>
      <c r="E531" s="220"/>
      <c r="F531" s="220"/>
      <c r="G531" s="220"/>
      <c r="H531" s="220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</row>
    <row r="532" spans="1:29" ht="15.75" customHeight="1" x14ac:dyDescent="0.25">
      <c r="A532" s="219"/>
      <c r="B532" s="219"/>
      <c r="C532" s="220"/>
      <c r="D532" s="220"/>
      <c r="E532" s="220"/>
      <c r="F532" s="220"/>
      <c r="G532" s="220"/>
      <c r="H532" s="220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</row>
    <row r="533" spans="1:29" ht="15.75" customHeight="1" x14ac:dyDescent="0.25">
      <c r="A533" s="219"/>
      <c r="B533" s="219"/>
      <c r="C533" s="220"/>
      <c r="D533" s="220"/>
      <c r="E533" s="220"/>
      <c r="F533" s="220"/>
      <c r="G533" s="220"/>
      <c r="H533" s="220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</row>
    <row r="534" spans="1:29" ht="15.75" customHeight="1" x14ac:dyDescent="0.25">
      <c r="A534" s="219"/>
      <c r="B534" s="219"/>
      <c r="C534" s="220"/>
      <c r="D534" s="220"/>
      <c r="E534" s="220"/>
      <c r="F534" s="220"/>
      <c r="G534" s="220"/>
      <c r="H534" s="220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</row>
    <row r="535" spans="1:29" ht="15.75" customHeight="1" x14ac:dyDescent="0.25">
      <c r="A535" s="219"/>
      <c r="B535" s="219"/>
      <c r="C535" s="220"/>
      <c r="D535" s="220"/>
      <c r="E535" s="220"/>
      <c r="F535" s="220"/>
      <c r="G535" s="220"/>
      <c r="H535" s="220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</row>
    <row r="536" spans="1:29" ht="15.75" customHeight="1" x14ac:dyDescent="0.25">
      <c r="A536" s="219"/>
      <c r="B536" s="219"/>
      <c r="C536" s="220"/>
      <c r="D536" s="220"/>
      <c r="E536" s="220"/>
      <c r="F536" s="220"/>
      <c r="G536" s="220"/>
      <c r="H536" s="220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</row>
    <row r="537" spans="1:29" ht="15.75" customHeight="1" x14ac:dyDescent="0.25">
      <c r="A537" s="219"/>
      <c r="B537" s="219"/>
      <c r="C537" s="220"/>
      <c r="D537" s="220"/>
      <c r="E537" s="220"/>
      <c r="F537" s="220"/>
      <c r="G537" s="220"/>
      <c r="H537" s="220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</row>
    <row r="538" spans="1:29" ht="15.75" customHeight="1" x14ac:dyDescent="0.25">
      <c r="A538" s="219"/>
      <c r="B538" s="219"/>
      <c r="C538" s="220"/>
      <c r="D538" s="220"/>
      <c r="E538" s="220"/>
      <c r="F538" s="220"/>
      <c r="G538" s="220"/>
      <c r="H538" s="220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</row>
    <row r="539" spans="1:29" ht="15.75" customHeight="1" x14ac:dyDescent="0.25">
      <c r="A539" s="219"/>
      <c r="B539" s="219"/>
      <c r="C539" s="220"/>
      <c r="D539" s="220"/>
      <c r="E539" s="220"/>
      <c r="F539" s="220"/>
      <c r="G539" s="220"/>
      <c r="H539" s="220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</row>
    <row r="540" spans="1:29" ht="15.75" customHeight="1" x14ac:dyDescent="0.25">
      <c r="A540" s="219"/>
      <c r="B540" s="219"/>
      <c r="C540" s="220"/>
      <c r="D540" s="220"/>
      <c r="E540" s="220"/>
      <c r="F540" s="220"/>
      <c r="G540" s="220"/>
      <c r="H540" s="220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</row>
    <row r="541" spans="1:29" ht="15.75" customHeight="1" x14ac:dyDescent="0.25">
      <c r="A541" s="219"/>
      <c r="B541" s="219"/>
      <c r="C541" s="220"/>
      <c r="D541" s="220"/>
      <c r="E541" s="220"/>
      <c r="F541" s="220"/>
      <c r="G541" s="220"/>
      <c r="H541" s="220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</row>
    <row r="542" spans="1:29" ht="15.75" customHeight="1" x14ac:dyDescent="0.25">
      <c r="A542" s="219"/>
      <c r="B542" s="219"/>
      <c r="C542" s="220"/>
      <c r="D542" s="220"/>
      <c r="E542" s="220"/>
      <c r="F542" s="220"/>
      <c r="G542" s="220"/>
      <c r="H542" s="220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  <c r="AC542" s="219"/>
    </row>
    <row r="543" spans="1:29" ht="15.75" customHeight="1" x14ac:dyDescent="0.25">
      <c r="A543" s="219"/>
      <c r="B543" s="219"/>
      <c r="C543" s="220"/>
      <c r="D543" s="220"/>
      <c r="E543" s="220"/>
      <c r="F543" s="220"/>
      <c r="G543" s="220"/>
      <c r="H543" s="220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  <c r="AC543" s="219"/>
    </row>
    <row r="544" spans="1:29" ht="15.75" customHeight="1" x14ac:dyDescent="0.25">
      <c r="A544" s="219"/>
      <c r="B544" s="219"/>
      <c r="C544" s="220"/>
      <c r="D544" s="220"/>
      <c r="E544" s="220"/>
      <c r="F544" s="220"/>
      <c r="G544" s="220"/>
      <c r="H544" s="220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  <c r="AC544" s="219"/>
    </row>
    <row r="545" spans="1:29" ht="15.75" customHeight="1" x14ac:dyDescent="0.25">
      <c r="A545" s="219"/>
      <c r="B545" s="219"/>
      <c r="C545" s="220"/>
      <c r="D545" s="220"/>
      <c r="E545" s="220"/>
      <c r="F545" s="220"/>
      <c r="G545" s="220"/>
      <c r="H545" s="220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  <c r="AC545" s="219"/>
    </row>
    <row r="546" spans="1:29" ht="15.75" customHeight="1" x14ac:dyDescent="0.25">
      <c r="A546" s="219"/>
      <c r="B546" s="219"/>
      <c r="C546" s="220"/>
      <c r="D546" s="220"/>
      <c r="E546" s="220"/>
      <c r="F546" s="220"/>
      <c r="G546" s="220"/>
      <c r="H546" s="220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  <c r="AC546" s="219"/>
    </row>
    <row r="547" spans="1:29" ht="15.75" customHeight="1" x14ac:dyDescent="0.25">
      <c r="A547" s="219"/>
      <c r="B547" s="219"/>
      <c r="C547" s="220"/>
      <c r="D547" s="220"/>
      <c r="E547" s="220"/>
      <c r="F547" s="220"/>
      <c r="G547" s="220"/>
      <c r="H547" s="220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  <c r="AC547" s="219"/>
    </row>
    <row r="548" spans="1:29" ht="15.75" customHeight="1" x14ac:dyDescent="0.25">
      <c r="A548" s="219"/>
      <c r="B548" s="219"/>
      <c r="C548" s="220"/>
      <c r="D548" s="220"/>
      <c r="E548" s="220"/>
      <c r="F548" s="220"/>
      <c r="G548" s="220"/>
      <c r="H548" s="220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  <c r="AC548" s="219"/>
    </row>
    <row r="549" spans="1:29" ht="15.75" customHeight="1" x14ac:dyDescent="0.25">
      <c r="A549" s="219"/>
      <c r="B549" s="219"/>
      <c r="C549" s="220"/>
      <c r="D549" s="220"/>
      <c r="E549" s="220"/>
      <c r="F549" s="220"/>
      <c r="G549" s="220"/>
      <c r="H549" s="220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  <c r="AC549" s="219"/>
    </row>
    <row r="550" spans="1:29" ht="15.75" customHeight="1" x14ac:dyDescent="0.25">
      <c r="A550" s="219"/>
      <c r="B550" s="219"/>
      <c r="C550" s="220"/>
      <c r="D550" s="220"/>
      <c r="E550" s="220"/>
      <c r="F550" s="220"/>
      <c r="G550" s="220"/>
      <c r="H550" s="220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  <c r="AC550" s="219"/>
    </row>
    <row r="551" spans="1:29" ht="15.75" customHeight="1" x14ac:dyDescent="0.25">
      <c r="A551" s="219"/>
      <c r="B551" s="219"/>
      <c r="C551" s="220"/>
      <c r="D551" s="220"/>
      <c r="E551" s="220"/>
      <c r="F551" s="220"/>
      <c r="G551" s="220"/>
      <c r="H551" s="220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</row>
    <row r="552" spans="1:29" ht="15.75" customHeight="1" x14ac:dyDescent="0.25">
      <c r="A552" s="219"/>
      <c r="B552" s="219"/>
      <c r="C552" s="220"/>
      <c r="D552" s="220"/>
      <c r="E552" s="220"/>
      <c r="F552" s="220"/>
      <c r="G552" s="220"/>
      <c r="H552" s="220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</row>
    <row r="553" spans="1:29" ht="15.75" customHeight="1" x14ac:dyDescent="0.25">
      <c r="A553" s="219"/>
      <c r="B553" s="219"/>
      <c r="C553" s="220"/>
      <c r="D553" s="220"/>
      <c r="E553" s="220"/>
      <c r="F553" s="220"/>
      <c r="G553" s="220"/>
      <c r="H553" s="220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</row>
    <row r="554" spans="1:29" ht="15.75" customHeight="1" x14ac:dyDescent="0.25">
      <c r="A554" s="219"/>
      <c r="B554" s="219"/>
      <c r="C554" s="220"/>
      <c r="D554" s="220"/>
      <c r="E554" s="220"/>
      <c r="F554" s="220"/>
      <c r="G554" s="220"/>
      <c r="H554" s="220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  <c r="AC554" s="219"/>
    </row>
    <row r="555" spans="1:29" ht="15.75" customHeight="1" x14ac:dyDescent="0.25">
      <c r="A555" s="219"/>
      <c r="B555" s="219"/>
      <c r="C555" s="220"/>
      <c r="D555" s="220"/>
      <c r="E555" s="220"/>
      <c r="F555" s="220"/>
      <c r="G555" s="220"/>
      <c r="H555" s="220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</row>
    <row r="556" spans="1:29" ht="15.75" customHeight="1" x14ac:dyDescent="0.25">
      <c r="A556" s="219"/>
      <c r="B556" s="219"/>
      <c r="C556" s="220"/>
      <c r="D556" s="220"/>
      <c r="E556" s="220"/>
      <c r="F556" s="220"/>
      <c r="G556" s="220"/>
      <c r="H556" s="220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  <c r="AC556" s="219"/>
    </row>
    <row r="557" spans="1:29" ht="15.75" customHeight="1" x14ac:dyDescent="0.25">
      <c r="A557" s="219"/>
      <c r="B557" s="219"/>
      <c r="C557" s="220"/>
      <c r="D557" s="220"/>
      <c r="E557" s="220"/>
      <c r="F557" s="220"/>
      <c r="G557" s="220"/>
      <c r="H557" s="220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  <c r="AC557" s="219"/>
    </row>
    <row r="558" spans="1:29" ht="15.75" customHeight="1" x14ac:dyDescent="0.25">
      <c r="A558" s="219"/>
      <c r="B558" s="219"/>
      <c r="C558" s="220"/>
      <c r="D558" s="220"/>
      <c r="E558" s="220"/>
      <c r="F558" s="220"/>
      <c r="G558" s="220"/>
      <c r="H558" s="220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  <c r="AC558" s="219"/>
    </row>
    <row r="559" spans="1:29" ht="15.75" customHeight="1" x14ac:dyDescent="0.25">
      <c r="A559" s="219"/>
      <c r="B559" s="219"/>
      <c r="C559" s="220"/>
      <c r="D559" s="220"/>
      <c r="E559" s="220"/>
      <c r="F559" s="220"/>
      <c r="G559" s="220"/>
      <c r="H559" s="220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  <c r="AC559" s="219"/>
    </row>
    <row r="560" spans="1:29" ht="15.75" customHeight="1" x14ac:dyDescent="0.25">
      <c r="A560" s="219"/>
      <c r="B560" s="219"/>
      <c r="C560" s="220"/>
      <c r="D560" s="220"/>
      <c r="E560" s="220"/>
      <c r="F560" s="220"/>
      <c r="G560" s="220"/>
      <c r="H560" s="220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  <c r="AC560" s="219"/>
    </row>
    <row r="561" spans="1:29" ht="15.75" customHeight="1" x14ac:dyDescent="0.25">
      <c r="A561" s="219"/>
      <c r="B561" s="219"/>
      <c r="C561" s="220"/>
      <c r="D561" s="220"/>
      <c r="E561" s="220"/>
      <c r="F561" s="220"/>
      <c r="G561" s="220"/>
      <c r="H561" s="220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  <c r="AC561" s="219"/>
    </row>
    <row r="562" spans="1:29" ht="15.75" customHeight="1" x14ac:dyDescent="0.25">
      <c r="A562" s="219"/>
      <c r="B562" s="219"/>
      <c r="C562" s="220"/>
      <c r="D562" s="220"/>
      <c r="E562" s="220"/>
      <c r="F562" s="220"/>
      <c r="G562" s="220"/>
      <c r="H562" s="220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</row>
    <row r="563" spans="1:29" ht="15.75" customHeight="1" x14ac:dyDescent="0.25">
      <c r="A563" s="219"/>
      <c r="B563" s="219"/>
      <c r="C563" s="220"/>
      <c r="D563" s="220"/>
      <c r="E563" s="220"/>
      <c r="F563" s="220"/>
      <c r="G563" s="220"/>
      <c r="H563" s="220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</row>
    <row r="564" spans="1:29" ht="15.75" customHeight="1" x14ac:dyDescent="0.25">
      <c r="A564" s="219"/>
      <c r="B564" s="219"/>
      <c r="C564" s="220"/>
      <c r="D564" s="220"/>
      <c r="E564" s="220"/>
      <c r="F564" s="220"/>
      <c r="G564" s="220"/>
      <c r="H564" s="220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  <c r="AC564" s="219"/>
    </row>
    <row r="565" spans="1:29" ht="15.75" customHeight="1" x14ac:dyDescent="0.25">
      <c r="A565" s="219"/>
      <c r="B565" s="219"/>
      <c r="C565" s="220"/>
      <c r="D565" s="220"/>
      <c r="E565" s="220"/>
      <c r="F565" s="220"/>
      <c r="G565" s="220"/>
      <c r="H565" s="220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  <c r="AC565" s="219"/>
    </row>
    <row r="566" spans="1:29" ht="15.75" customHeight="1" x14ac:dyDescent="0.25">
      <c r="A566" s="219"/>
      <c r="B566" s="219"/>
      <c r="C566" s="220"/>
      <c r="D566" s="220"/>
      <c r="E566" s="220"/>
      <c r="F566" s="220"/>
      <c r="G566" s="220"/>
      <c r="H566" s="220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</row>
    <row r="567" spans="1:29" ht="15.75" customHeight="1" x14ac:dyDescent="0.25">
      <c r="A567" s="219"/>
      <c r="B567" s="219"/>
      <c r="C567" s="220"/>
      <c r="D567" s="220"/>
      <c r="E567" s="220"/>
      <c r="F567" s="220"/>
      <c r="G567" s="220"/>
      <c r="H567" s="220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</row>
    <row r="568" spans="1:29" ht="15.75" customHeight="1" x14ac:dyDescent="0.25">
      <c r="A568" s="219"/>
      <c r="B568" s="219"/>
      <c r="C568" s="220"/>
      <c r="D568" s="220"/>
      <c r="E568" s="220"/>
      <c r="F568" s="220"/>
      <c r="G568" s="220"/>
      <c r="H568" s="220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</row>
    <row r="569" spans="1:29" ht="15.75" customHeight="1" x14ac:dyDescent="0.25">
      <c r="A569" s="219"/>
      <c r="B569" s="219"/>
      <c r="C569" s="220"/>
      <c r="D569" s="220"/>
      <c r="E569" s="220"/>
      <c r="F569" s="220"/>
      <c r="G569" s="220"/>
      <c r="H569" s="220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</row>
    <row r="570" spans="1:29" ht="15.75" customHeight="1" x14ac:dyDescent="0.25">
      <c r="A570" s="219"/>
      <c r="B570" s="219"/>
      <c r="C570" s="220"/>
      <c r="D570" s="220"/>
      <c r="E570" s="220"/>
      <c r="F570" s="220"/>
      <c r="G570" s="220"/>
      <c r="H570" s="220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</row>
    <row r="571" spans="1:29" ht="15.75" customHeight="1" x14ac:dyDescent="0.25">
      <c r="A571" s="219"/>
      <c r="B571" s="219"/>
      <c r="C571" s="220"/>
      <c r="D571" s="220"/>
      <c r="E571" s="220"/>
      <c r="F571" s="220"/>
      <c r="G571" s="220"/>
      <c r="H571" s="220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</row>
    <row r="572" spans="1:29" ht="15.75" customHeight="1" x14ac:dyDescent="0.25">
      <c r="A572" s="219"/>
      <c r="B572" s="219"/>
      <c r="C572" s="220"/>
      <c r="D572" s="220"/>
      <c r="E572" s="220"/>
      <c r="F572" s="220"/>
      <c r="G572" s="220"/>
      <c r="H572" s="220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</row>
    <row r="573" spans="1:29" ht="15.75" customHeight="1" x14ac:dyDescent="0.25">
      <c r="A573" s="219"/>
      <c r="B573" s="219"/>
      <c r="C573" s="220"/>
      <c r="D573" s="220"/>
      <c r="E573" s="220"/>
      <c r="F573" s="220"/>
      <c r="G573" s="220"/>
      <c r="H573" s="220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</row>
    <row r="574" spans="1:29" ht="15.75" customHeight="1" x14ac:dyDescent="0.25">
      <c r="A574" s="219"/>
      <c r="B574" s="219"/>
      <c r="C574" s="220"/>
      <c r="D574" s="220"/>
      <c r="E574" s="220"/>
      <c r="F574" s="220"/>
      <c r="G574" s="220"/>
      <c r="H574" s="220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</row>
    <row r="575" spans="1:29" ht="15.75" customHeight="1" x14ac:dyDescent="0.25">
      <c r="A575" s="219"/>
      <c r="B575" s="219"/>
      <c r="C575" s="220"/>
      <c r="D575" s="220"/>
      <c r="E575" s="220"/>
      <c r="F575" s="220"/>
      <c r="G575" s="220"/>
      <c r="H575" s="220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19"/>
    </row>
    <row r="576" spans="1:29" ht="15.75" customHeight="1" x14ac:dyDescent="0.25">
      <c r="A576" s="219"/>
      <c r="B576" s="219"/>
      <c r="C576" s="220"/>
      <c r="D576" s="220"/>
      <c r="E576" s="220"/>
      <c r="F576" s="220"/>
      <c r="G576" s="220"/>
      <c r="H576" s="220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</row>
    <row r="577" spans="1:29" ht="15.75" customHeight="1" x14ac:dyDescent="0.25">
      <c r="A577" s="219"/>
      <c r="B577" s="219"/>
      <c r="C577" s="220"/>
      <c r="D577" s="220"/>
      <c r="E577" s="220"/>
      <c r="F577" s="220"/>
      <c r="G577" s="220"/>
      <c r="H577" s="220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</row>
    <row r="578" spans="1:29" ht="15.75" customHeight="1" x14ac:dyDescent="0.25">
      <c r="A578" s="219"/>
      <c r="B578" s="219"/>
      <c r="C578" s="220"/>
      <c r="D578" s="220"/>
      <c r="E578" s="220"/>
      <c r="F578" s="220"/>
      <c r="G578" s="220"/>
      <c r="H578" s="220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</row>
    <row r="579" spans="1:29" ht="15.75" customHeight="1" x14ac:dyDescent="0.25">
      <c r="A579" s="219"/>
      <c r="B579" s="219"/>
      <c r="C579" s="220"/>
      <c r="D579" s="220"/>
      <c r="E579" s="220"/>
      <c r="F579" s="220"/>
      <c r="G579" s="220"/>
      <c r="H579" s="220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19"/>
    </row>
    <row r="580" spans="1:29" ht="15.75" customHeight="1" x14ac:dyDescent="0.25">
      <c r="A580" s="219"/>
      <c r="B580" s="219"/>
      <c r="C580" s="220"/>
      <c r="D580" s="220"/>
      <c r="E580" s="220"/>
      <c r="F580" s="220"/>
      <c r="G580" s="220"/>
      <c r="H580" s="220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  <c r="AC580" s="219"/>
    </row>
    <row r="581" spans="1:29" ht="15.75" customHeight="1" x14ac:dyDescent="0.25">
      <c r="A581" s="219"/>
      <c r="B581" s="219"/>
      <c r="C581" s="220"/>
      <c r="D581" s="220"/>
      <c r="E581" s="220"/>
      <c r="F581" s="220"/>
      <c r="G581" s="220"/>
      <c r="H581" s="220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  <c r="AC581" s="219"/>
    </row>
    <row r="582" spans="1:29" ht="15.75" customHeight="1" x14ac:dyDescent="0.25">
      <c r="A582" s="219"/>
      <c r="B582" s="219"/>
      <c r="C582" s="220"/>
      <c r="D582" s="220"/>
      <c r="E582" s="220"/>
      <c r="F582" s="220"/>
      <c r="G582" s="220"/>
      <c r="H582" s="220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19"/>
    </row>
    <row r="583" spans="1:29" ht="15.75" customHeight="1" x14ac:dyDescent="0.25">
      <c r="A583" s="219"/>
      <c r="B583" s="219"/>
      <c r="C583" s="220"/>
      <c r="D583" s="220"/>
      <c r="E583" s="220"/>
      <c r="F583" s="220"/>
      <c r="G583" s="220"/>
      <c r="H583" s="220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19"/>
    </row>
    <row r="584" spans="1:29" ht="15.75" customHeight="1" x14ac:dyDescent="0.25">
      <c r="A584" s="219"/>
      <c r="B584" s="219"/>
      <c r="C584" s="220"/>
      <c r="D584" s="220"/>
      <c r="E584" s="220"/>
      <c r="F584" s="220"/>
      <c r="G584" s="220"/>
      <c r="H584" s="220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  <c r="AC584" s="219"/>
    </row>
    <row r="585" spans="1:29" ht="15.75" customHeight="1" x14ac:dyDescent="0.25">
      <c r="A585" s="219"/>
      <c r="B585" s="219"/>
      <c r="C585" s="220"/>
      <c r="D585" s="220"/>
      <c r="E585" s="220"/>
      <c r="F585" s="220"/>
      <c r="G585" s="220"/>
      <c r="H585" s="220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  <c r="AC585" s="219"/>
    </row>
    <row r="586" spans="1:29" ht="15.75" customHeight="1" x14ac:dyDescent="0.25">
      <c r="A586" s="219"/>
      <c r="B586" s="219"/>
      <c r="C586" s="220"/>
      <c r="D586" s="220"/>
      <c r="E586" s="220"/>
      <c r="F586" s="220"/>
      <c r="G586" s="220"/>
      <c r="H586" s="220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19"/>
    </row>
    <row r="587" spans="1:29" ht="15.75" customHeight="1" x14ac:dyDescent="0.25">
      <c r="A587" s="219"/>
      <c r="B587" s="219"/>
      <c r="C587" s="220"/>
      <c r="D587" s="220"/>
      <c r="E587" s="220"/>
      <c r="F587" s="220"/>
      <c r="G587" s="220"/>
      <c r="H587" s="220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19"/>
    </row>
    <row r="588" spans="1:29" ht="15.75" customHeight="1" x14ac:dyDescent="0.25">
      <c r="A588" s="219"/>
      <c r="B588" s="219"/>
      <c r="C588" s="220"/>
      <c r="D588" s="220"/>
      <c r="E588" s="220"/>
      <c r="F588" s="220"/>
      <c r="G588" s="220"/>
      <c r="H588" s="220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  <c r="AC588" s="219"/>
    </row>
    <row r="589" spans="1:29" ht="15.75" customHeight="1" x14ac:dyDescent="0.25">
      <c r="A589" s="219"/>
      <c r="B589" s="219"/>
      <c r="C589" s="220"/>
      <c r="D589" s="220"/>
      <c r="E589" s="220"/>
      <c r="F589" s="220"/>
      <c r="G589" s="220"/>
      <c r="H589" s="220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  <c r="AC589" s="219"/>
    </row>
    <row r="590" spans="1:29" ht="15.75" customHeight="1" x14ac:dyDescent="0.25">
      <c r="A590" s="219"/>
      <c r="B590" s="219"/>
      <c r="C590" s="220"/>
      <c r="D590" s="220"/>
      <c r="E590" s="220"/>
      <c r="F590" s="220"/>
      <c r="G590" s="220"/>
      <c r="H590" s="220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19"/>
    </row>
    <row r="591" spans="1:29" ht="15.75" customHeight="1" x14ac:dyDescent="0.25">
      <c r="A591" s="219"/>
      <c r="B591" s="219"/>
      <c r="C591" s="220"/>
      <c r="D591" s="220"/>
      <c r="E591" s="220"/>
      <c r="F591" s="220"/>
      <c r="G591" s="220"/>
      <c r="H591" s="220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19"/>
    </row>
    <row r="592" spans="1:29" ht="15.75" customHeight="1" x14ac:dyDescent="0.25">
      <c r="A592" s="219"/>
      <c r="B592" s="219"/>
      <c r="C592" s="220"/>
      <c r="D592" s="220"/>
      <c r="E592" s="220"/>
      <c r="F592" s="220"/>
      <c r="G592" s="220"/>
      <c r="H592" s="220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</row>
    <row r="593" spans="1:29" ht="15.75" customHeight="1" x14ac:dyDescent="0.25">
      <c r="A593" s="219"/>
      <c r="B593" s="219"/>
      <c r="C593" s="220"/>
      <c r="D593" s="220"/>
      <c r="E593" s="220"/>
      <c r="F593" s="220"/>
      <c r="G593" s="220"/>
      <c r="H593" s="220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19"/>
    </row>
    <row r="594" spans="1:29" ht="15.75" customHeight="1" x14ac:dyDescent="0.25">
      <c r="A594" s="219"/>
      <c r="B594" s="219"/>
      <c r="C594" s="220"/>
      <c r="D594" s="220"/>
      <c r="E594" s="220"/>
      <c r="F594" s="220"/>
      <c r="G594" s="220"/>
      <c r="H594" s="220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19"/>
    </row>
    <row r="595" spans="1:29" ht="15.75" customHeight="1" x14ac:dyDescent="0.25">
      <c r="A595" s="219"/>
      <c r="B595" s="219"/>
      <c r="C595" s="220"/>
      <c r="D595" s="220"/>
      <c r="E595" s="220"/>
      <c r="F595" s="220"/>
      <c r="G595" s="220"/>
      <c r="H595" s="220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  <c r="AC595" s="219"/>
    </row>
    <row r="596" spans="1:29" ht="15.75" customHeight="1" x14ac:dyDescent="0.25">
      <c r="A596" s="219"/>
      <c r="B596" s="219"/>
      <c r="C596" s="220"/>
      <c r="D596" s="220"/>
      <c r="E596" s="220"/>
      <c r="F596" s="220"/>
      <c r="G596" s="220"/>
      <c r="H596" s="220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  <c r="AC596" s="219"/>
    </row>
    <row r="597" spans="1:29" ht="15.75" customHeight="1" x14ac:dyDescent="0.25">
      <c r="A597" s="219"/>
      <c r="B597" s="219"/>
      <c r="C597" s="220"/>
      <c r="D597" s="220"/>
      <c r="E597" s="220"/>
      <c r="F597" s="220"/>
      <c r="G597" s="220"/>
      <c r="H597" s="220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  <c r="AC597" s="219"/>
    </row>
    <row r="598" spans="1:29" ht="15.75" customHeight="1" x14ac:dyDescent="0.25">
      <c r="A598" s="219"/>
      <c r="B598" s="219"/>
      <c r="C598" s="220"/>
      <c r="D598" s="220"/>
      <c r="E598" s="220"/>
      <c r="F598" s="220"/>
      <c r="G598" s="220"/>
      <c r="H598" s="220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  <c r="AC598" s="219"/>
    </row>
    <row r="599" spans="1:29" ht="15.75" customHeight="1" x14ac:dyDescent="0.25">
      <c r="A599" s="219"/>
      <c r="B599" s="219"/>
      <c r="C599" s="220"/>
      <c r="D599" s="220"/>
      <c r="E599" s="220"/>
      <c r="F599" s="220"/>
      <c r="G599" s="220"/>
      <c r="H599" s="220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  <c r="AC599" s="219"/>
    </row>
    <row r="600" spans="1:29" ht="15.75" customHeight="1" x14ac:dyDescent="0.25">
      <c r="A600" s="219"/>
      <c r="B600" s="219"/>
      <c r="C600" s="220"/>
      <c r="D600" s="220"/>
      <c r="E600" s="220"/>
      <c r="F600" s="220"/>
      <c r="G600" s="220"/>
      <c r="H600" s="220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  <c r="AC600" s="219"/>
    </row>
    <row r="601" spans="1:29" ht="15.75" customHeight="1" x14ac:dyDescent="0.25">
      <c r="A601" s="219"/>
      <c r="B601" s="219"/>
      <c r="C601" s="220"/>
      <c r="D601" s="220"/>
      <c r="E601" s="220"/>
      <c r="F601" s="220"/>
      <c r="G601" s="220"/>
      <c r="H601" s="220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  <c r="AC601" s="219"/>
    </row>
    <row r="602" spans="1:29" ht="15.75" customHeight="1" x14ac:dyDescent="0.25">
      <c r="A602" s="219"/>
      <c r="B602" s="219"/>
      <c r="C602" s="220"/>
      <c r="D602" s="220"/>
      <c r="E602" s="220"/>
      <c r="F602" s="220"/>
      <c r="G602" s="220"/>
      <c r="H602" s="220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  <c r="AC602" s="219"/>
    </row>
    <row r="603" spans="1:29" ht="15.75" customHeight="1" x14ac:dyDescent="0.25">
      <c r="A603" s="219"/>
      <c r="B603" s="219"/>
      <c r="C603" s="220"/>
      <c r="D603" s="220"/>
      <c r="E603" s="220"/>
      <c r="F603" s="220"/>
      <c r="G603" s="220"/>
      <c r="H603" s="220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  <c r="AC603" s="219"/>
    </row>
    <row r="604" spans="1:29" ht="15.75" customHeight="1" x14ac:dyDescent="0.25">
      <c r="A604" s="219"/>
      <c r="B604" s="219"/>
      <c r="C604" s="220"/>
      <c r="D604" s="220"/>
      <c r="E604" s="220"/>
      <c r="F604" s="220"/>
      <c r="G604" s="220"/>
      <c r="H604" s="220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  <c r="AC604" s="219"/>
    </row>
    <row r="605" spans="1:29" ht="15.75" customHeight="1" x14ac:dyDescent="0.25">
      <c r="A605" s="219"/>
      <c r="B605" s="219"/>
      <c r="C605" s="220"/>
      <c r="D605" s="220"/>
      <c r="E605" s="220"/>
      <c r="F605" s="220"/>
      <c r="G605" s="220"/>
      <c r="H605" s="220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  <c r="AC605" s="219"/>
    </row>
    <row r="606" spans="1:29" ht="15.75" customHeight="1" x14ac:dyDescent="0.25">
      <c r="A606" s="219"/>
      <c r="B606" s="219"/>
      <c r="C606" s="220"/>
      <c r="D606" s="220"/>
      <c r="E606" s="220"/>
      <c r="F606" s="220"/>
      <c r="G606" s="220"/>
      <c r="H606" s="220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  <c r="AC606" s="219"/>
    </row>
    <row r="607" spans="1:29" ht="15.75" customHeight="1" x14ac:dyDescent="0.25">
      <c r="A607" s="219"/>
      <c r="B607" s="219"/>
      <c r="C607" s="220"/>
      <c r="D607" s="220"/>
      <c r="E607" s="220"/>
      <c r="F607" s="220"/>
      <c r="G607" s="220"/>
      <c r="H607" s="220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  <c r="AC607" s="219"/>
    </row>
    <row r="608" spans="1:29" ht="15.75" customHeight="1" x14ac:dyDescent="0.25">
      <c r="A608" s="219"/>
      <c r="B608" s="219"/>
      <c r="C608" s="220"/>
      <c r="D608" s="220"/>
      <c r="E608" s="220"/>
      <c r="F608" s="220"/>
      <c r="G608" s="220"/>
      <c r="H608" s="220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</row>
    <row r="609" spans="1:29" ht="15.75" customHeight="1" x14ac:dyDescent="0.25">
      <c r="A609" s="219"/>
      <c r="B609" s="219"/>
      <c r="C609" s="220"/>
      <c r="D609" s="220"/>
      <c r="E609" s="220"/>
      <c r="F609" s="220"/>
      <c r="G609" s="220"/>
      <c r="H609" s="220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</row>
    <row r="610" spans="1:29" ht="15.75" customHeight="1" x14ac:dyDescent="0.25">
      <c r="A610" s="219"/>
      <c r="B610" s="219"/>
      <c r="C610" s="220"/>
      <c r="D610" s="220"/>
      <c r="E610" s="220"/>
      <c r="F610" s="220"/>
      <c r="G610" s="220"/>
      <c r="H610" s="220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</row>
    <row r="611" spans="1:29" ht="15.75" customHeight="1" x14ac:dyDescent="0.25">
      <c r="A611" s="219"/>
      <c r="B611" s="219"/>
      <c r="C611" s="220"/>
      <c r="D611" s="220"/>
      <c r="E611" s="220"/>
      <c r="F611" s="220"/>
      <c r="G611" s="220"/>
      <c r="H611" s="220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</row>
    <row r="612" spans="1:29" ht="15.75" customHeight="1" x14ac:dyDescent="0.25">
      <c r="A612" s="219"/>
      <c r="B612" s="219"/>
      <c r="C612" s="220"/>
      <c r="D612" s="220"/>
      <c r="E612" s="220"/>
      <c r="F612" s="220"/>
      <c r="G612" s="220"/>
      <c r="H612" s="220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</row>
    <row r="613" spans="1:29" ht="15.75" customHeight="1" x14ac:dyDescent="0.25">
      <c r="A613" s="219"/>
      <c r="B613" s="219"/>
      <c r="C613" s="220"/>
      <c r="D613" s="220"/>
      <c r="E613" s="220"/>
      <c r="F613" s="220"/>
      <c r="G613" s="220"/>
      <c r="H613" s="220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</row>
    <row r="614" spans="1:29" ht="15.75" customHeight="1" x14ac:dyDescent="0.25">
      <c r="A614" s="219"/>
      <c r="B614" s="219"/>
      <c r="C614" s="220"/>
      <c r="D614" s="220"/>
      <c r="E614" s="220"/>
      <c r="F614" s="220"/>
      <c r="G614" s="220"/>
      <c r="H614" s="220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</row>
    <row r="615" spans="1:29" ht="15.75" customHeight="1" x14ac:dyDescent="0.25">
      <c r="A615" s="219"/>
      <c r="B615" s="219"/>
      <c r="C615" s="220"/>
      <c r="D615" s="220"/>
      <c r="E615" s="220"/>
      <c r="F615" s="220"/>
      <c r="G615" s="220"/>
      <c r="H615" s="220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</row>
    <row r="616" spans="1:29" ht="15.75" customHeight="1" x14ac:dyDescent="0.25">
      <c r="A616" s="219"/>
      <c r="B616" s="219"/>
      <c r="C616" s="220"/>
      <c r="D616" s="220"/>
      <c r="E616" s="220"/>
      <c r="F616" s="220"/>
      <c r="G616" s="220"/>
      <c r="H616" s="220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  <c r="AC616" s="219"/>
    </row>
    <row r="617" spans="1:29" ht="15.75" customHeight="1" x14ac:dyDescent="0.25">
      <c r="A617" s="219"/>
      <c r="B617" s="219"/>
      <c r="C617" s="220"/>
      <c r="D617" s="220"/>
      <c r="E617" s="220"/>
      <c r="F617" s="220"/>
      <c r="G617" s="220"/>
      <c r="H617" s="220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  <c r="AB617" s="219"/>
      <c r="AC617" s="219"/>
    </row>
    <row r="618" spans="1:29" ht="15.75" customHeight="1" x14ac:dyDescent="0.25">
      <c r="A618" s="219"/>
      <c r="B618" s="219"/>
      <c r="C618" s="220"/>
      <c r="D618" s="220"/>
      <c r="E618" s="220"/>
      <c r="F618" s="220"/>
      <c r="G618" s="220"/>
      <c r="H618" s="220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  <c r="AC618" s="219"/>
    </row>
    <row r="619" spans="1:29" ht="15.75" customHeight="1" x14ac:dyDescent="0.25">
      <c r="A619" s="219"/>
      <c r="B619" s="219"/>
      <c r="C619" s="220"/>
      <c r="D619" s="220"/>
      <c r="E619" s="220"/>
      <c r="F619" s="220"/>
      <c r="G619" s="220"/>
      <c r="H619" s="220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  <c r="AC619" s="219"/>
    </row>
    <row r="620" spans="1:29" ht="15.75" customHeight="1" x14ac:dyDescent="0.25">
      <c r="A620" s="219"/>
      <c r="B620" s="219"/>
      <c r="C620" s="220"/>
      <c r="D620" s="220"/>
      <c r="E620" s="220"/>
      <c r="F620" s="220"/>
      <c r="G620" s="220"/>
      <c r="H620" s="220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  <c r="AC620" s="219"/>
    </row>
    <row r="621" spans="1:29" ht="15.75" customHeight="1" x14ac:dyDescent="0.25">
      <c r="A621" s="219"/>
      <c r="B621" s="219"/>
      <c r="C621" s="220"/>
      <c r="D621" s="220"/>
      <c r="E621" s="220"/>
      <c r="F621" s="220"/>
      <c r="G621" s="220"/>
      <c r="H621" s="220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  <c r="AC621" s="219"/>
    </row>
    <row r="622" spans="1:29" ht="15.75" customHeight="1" x14ac:dyDescent="0.25">
      <c r="A622" s="219"/>
      <c r="B622" s="219"/>
      <c r="C622" s="220"/>
      <c r="D622" s="220"/>
      <c r="E622" s="220"/>
      <c r="F622" s="220"/>
      <c r="G622" s="220"/>
      <c r="H622" s="220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  <c r="AC622" s="219"/>
    </row>
    <row r="623" spans="1:29" ht="15.75" customHeight="1" x14ac:dyDescent="0.25">
      <c r="A623" s="219"/>
      <c r="B623" s="219"/>
      <c r="C623" s="220"/>
      <c r="D623" s="220"/>
      <c r="E623" s="220"/>
      <c r="F623" s="220"/>
      <c r="G623" s="220"/>
      <c r="H623" s="220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  <c r="AC623" s="219"/>
    </row>
    <row r="624" spans="1:29" ht="15.75" customHeight="1" x14ac:dyDescent="0.25">
      <c r="A624" s="219"/>
      <c r="B624" s="219"/>
      <c r="C624" s="220"/>
      <c r="D624" s="220"/>
      <c r="E624" s="220"/>
      <c r="F624" s="220"/>
      <c r="G624" s="220"/>
      <c r="H624" s="220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  <c r="AC624" s="219"/>
    </row>
    <row r="625" spans="1:29" ht="15.75" customHeight="1" x14ac:dyDescent="0.25">
      <c r="A625" s="219"/>
      <c r="B625" s="219"/>
      <c r="C625" s="220"/>
      <c r="D625" s="220"/>
      <c r="E625" s="220"/>
      <c r="F625" s="220"/>
      <c r="G625" s="220"/>
      <c r="H625" s="220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  <c r="AC625" s="219"/>
    </row>
    <row r="626" spans="1:29" ht="15.75" customHeight="1" x14ac:dyDescent="0.25">
      <c r="A626" s="219"/>
      <c r="B626" s="219"/>
      <c r="C626" s="220"/>
      <c r="D626" s="220"/>
      <c r="E626" s="220"/>
      <c r="F626" s="220"/>
      <c r="G626" s="220"/>
      <c r="H626" s="220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  <c r="AC626" s="219"/>
    </row>
    <row r="627" spans="1:29" ht="15.75" customHeight="1" x14ac:dyDescent="0.25">
      <c r="A627" s="219"/>
      <c r="B627" s="219"/>
      <c r="C627" s="220"/>
      <c r="D627" s="220"/>
      <c r="E627" s="220"/>
      <c r="F627" s="220"/>
      <c r="G627" s="220"/>
      <c r="H627" s="220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</row>
    <row r="628" spans="1:29" ht="15.75" customHeight="1" x14ac:dyDescent="0.25">
      <c r="A628" s="219"/>
      <c r="B628" s="219"/>
      <c r="C628" s="220"/>
      <c r="D628" s="220"/>
      <c r="E628" s="220"/>
      <c r="F628" s="220"/>
      <c r="G628" s="220"/>
      <c r="H628" s="220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</row>
    <row r="629" spans="1:29" ht="15.75" customHeight="1" x14ac:dyDescent="0.25">
      <c r="A629" s="219"/>
      <c r="B629" s="219"/>
      <c r="C629" s="220"/>
      <c r="D629" s="220"/>
      <c r="E629" s="220"/>
      <c r="F629" s="220"/>
      <c r="G629" s="220"/>
      <c r="H629" s="220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  <c r="AC629" s="219"/>
    </row>
    <row r="630" spans="1:29" ht="15.75" customHeight="1" x14ac:dyDescent="0.25">
      <c r="A630" s="219"/>
      <c r="B630" s="219"/>
      <c r="C630" s="220"/>
      <c r="D630" s="220"/>
      <c r="E630" s="220"/>
      <c r="F630" s="220"/>
      <c r="G630" s="220"/>
      <c r="H630" s="220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  <c r="AC630" s="219"/>
    </row>
    <row r="631" spans="1:29" ht="15.75" customHeight="1" x14ac:dyDescent="0.25">
      <c r="A631" s="219"/>
      <c r="B631" s="219"/>
      <c r="C631" s="220"/>
      <c r="D631" s="220"/>
      <c r="E631" s="220"/>
      <c r="F631" s="220"/>
      <c r="G631" s="220"/>
      <c r="H631" s="220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  <c r="AC631" s="219"/>
    </row>
    <row r="632" spans="1:29" ht="15.75" customHeight="1" x14ac:dyDescent="0.25">
      <c r="A632" s="219"/>
      <c r="B632" s="219"/>
      <c r="C632" s="220"/>
      <c r="D632" s="220"/>
      <c r="E632" s="220"/>
      <c r="F632" s="220"/>
      <c r="G632" s="220"/>
      <c r="H632" s="220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</row>
    <row r="633" spans="1:29" ht="15.75" customHeight="1" x14ac:dyDescent="0.25">
      <c r="A633" s="219"/>
      <c r="B633" s="219"/>
      <c r="C633" s="220"/>
      <c r="D633" s="220"/>
      <c r="E633" s="220"/>
      <c r="F633" s="220"/>
      <c r="G633" s="220"/>
      <c r="H633" s="220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  <c r="AC633" s="219"/>
    </row>
    <row r="634" spans="1:29" ht="15.75" customHeight="1" x14ac:dyDescent="0.25">
      <c r="A634" s="219"/>
      <c r="B634" s="219"/>
      <c r="C634" s="220"/>
      <c r="D634" s="220"/>
      <c r="E634" s="220"/>
      <c r="F634" s="220"/>
      <c r="G634" s="220"/>
      <c r="H634" s="220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</row>
    <row r="635" spans="1:29" ht="15.75" customHeight="1" x14ac:dyDescent="0.25">
      <c r="A635" s="219"/>
      <c r="B635" s="219"/>
      <c r="C635" s="220"/>
      <c r="D635" s="220"/>
      <c r="E635" s="220"/>
      <c r="F635" s="220"/>
      <c r="G635" s="220"/>
      <c r="H635" s="220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</row>
    <row r="636" spans="1:29" ht="15.75" customHeight="1" x14ac:dyDescent="0.25">
      <c r="A636" s="219"/>
      <c r="B636" s="219"/>
      <c r="C636" s="220"/>
      <c r="D636" s="220"/>
      <c r="E636" s="220"/>
      <c r="F636" s="220"/>
      <c r="G636" s="220"/>
      <c r="H636" s="220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</row>
    <row r="637" spans="1:29" ht="15.75" customHeight="1" x14ac:dyDescent="0.25">
      <c r="A637" s="219"/>
      <c r="B637" s="219"/>
      <c r="C637" s="220"/>
      <c r="D637" s="220"/>
      <c r="E637" s="220"/>
      <c r="F637" s="220"/>
      <c r="G637" s="220"/>
      <c r="H637" s="220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</row>
    <row r="638" spans="1:29" ht="15.75" customHeight="1" x14ac:dyDescent="0.25">
      <c r="A638" s="219"/>
      <c r="B638" s="219"/>
      <c r="C638" s="220"/>
      <c r="D638" s="220"/>
      <c r="E638" s="220"/>
      <c r="F638" s="220"/>
      <c r="G638" s="220"/>
      <c r="H638" s="220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</row>
    <row r="639" spans="1:29" ht="15.75" customHeight="1" x14ac:dyDescent="0.25">
      <c r="A639" s="219"/>
      <c r="B639" s="219"/>
      <c r="C639" s="220"/>
      <c r="D639" s="220"/>
      <c r="E639" s="220"/>
      <c r="F639" s="220"/>
      <c r="G639" s="220"/>
      <c r="H639" s="220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</row>
    <row r="640" spans="1:29" ht="15.75" customHeight="1" x14ac:dyDescent="0.25">
      <c r="A640" s="219"/>
      <c r="B640" s="219"/>
      <c r="C640" s="220"/>
      <c r="D640" s="220"/>
      <c r="E640" s="220"/>
      <c r="F640" s="220"/>
      <c r="G640" s="220"/>
      <c r="H640" s="220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</row>
    <row r="641" spans="1:29" ht="15.75" customHeight="1" x14ac:dyDescent="0.25">
      <c r="A641" s="219"/>
      <c r="B641" s="219"/>
      <c r="C641" s="220"/>
      <c r="D641" s="220"/>
      <c r="E641" s="220"/>
      <c r="F641" s="220"/>
      <c r="G641" s="220"/>
      <c r="H641" s="220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  <c r="AC641" s="219"/>
    </row>
    <row r="642" spans="1:29" ht="15.75" customHeight="1" x14ac:dyDescent="0.25">
      <c r="A642" s="219"/>
      <c r="B642" s="219"/>
      <c r="C642" s="220"/>
      <c r="D642" s="220"/>
      <c r="E642" s="220"/>
      <c r="F642" s="220"/>
      <c r="G642" s="220"/>
      <c r="H642" s="220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</row>
    <row r="643" spans="1:29" ht="15.75" customHeight="1" x14ac:dyDescent="0.25">
      <c r="A643" s="219"/>
      <c r="B643" s="219"/>
      <c r="C643" s="220"/>
      <c r="D643" s="220"/>
      <c r="E643" s="220"/>
      <c r="F643" s="220"/>
      <c r="G643" s="220"/>
      <c r="H643" s="220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</row>
    <row r="644" spans="1:29" ht="15.75" customHeight="1" x14ac:dyDescent="0.25">
      <c r="A644" s="219"/>
      <c r="B644" s="219"/>
      <c r="C644" s="220"/>
      <c r="D644" s="220"/>
      <c r="E644" s="220"/>
      <c r="F644" s="220"/>
      <c r="G644" s="220"/>
      <c r="H644" s="220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</row>
    <row r="645" spans="1:29" ht="15.75" customHeight="1" x14ac:dyDescent="0.25">
      <c r="A645" s="219"/>
      <c r="B645" s="219"/>
      <c r="C645" s="220"/>
      <c r="D645" s="220"/>
      <c r="E645" s="220"/>
      <c r="F645" s="220"/>
      <c r="G645" s="220"/>
      <c r="H645" s="220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</row>
    <row r="646" spans="1:29" ht="15.75" customHeight="1" x14ac:dyDescent="0.25">
      <c r="A646" s="219"/>
      <c r="B646" s="219"/>
      <c r="C646" s="220"/>
      <c r="D646" s="220"/>
      <c r="E646" s="220"/>
      <c r="F646" s="220"/>
      <c r="G646" s="220"/>
      <c r="H646" s="220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</row>
    <row r="647" spans="1:29" ht="15.75" customHeight="1" x14ac:dyDescent="0.25">
      <c r="A647" s="219"/>
      <c r="B647" s="219"/>
      <c r="C647" s="220"/>
      <c r="D647" s="220"/>
      <c r="E647" s="220"/>
      <c r="F647" s="220"/>
      <c r="G647" s="220"/>
      <c r="H647" s="220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</row>
    <row r="648" spans="1:29" ht="15.75" customHeight="1" x14ac:dyDescent="0.25">
      <c r="A648" s="219"/>
      <c r="B648" s="219"/>
      <c r="C648" s="220"/>
      <c r="D648" s="220"/>
      <c r="E648" s="220"/>
      <c r="F648" s="220"/>
      <c r="G648" s="220"/>
      <c r="H648" s="220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</row>
    <row r="649" spans="1:29" ht="15.75" customHeight="1" x14ac:dyDescent="0.25">
      <c r="A649" s="219"/>
      <c r="B649" s="219"/>
      <c r="C649" s="220"/>
      <c r="D649" s="220"/>
      <c r="E649" s="220"/>
      <c r="F649" s="220"/>
      <c r="G649" s="220"/>
      <c r="H649" s="220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</row>
    <row r="650" spans="1:29" ht="15.75" customHeight="1" x14ac:dyDescent="0.25">
      <c r="A650" s="219"/>
      <c r="B650" s="219"/>
      <c r="C650" s="220"/>
      <c r="D650" s="220"/>
      <c r="E650" s="220"/>
      <c r="F650" s="220"/>
      <c r="G650" s="220"/>
      <c r="H650" s="220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</row>
    <row r="651" spans="1:29" ht="15.75" customHeight="1" x14ac:dyDescent="0.25">
      <c r="A651" s="219"/>
      <c r="B651" s="219"/>
      <c r="C651" s="220"/>
      <c r="D651" s="220"/>
      <c r="E651" s="220"/>
      <c r="F651" s="220"/>
      <c r="G651" s="220"/>
      <c r="H651" s="220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</row>
    <row r="652" spans="1:29" ht="15.75" customHeight="1" x14ac:dyDescent="0.25">
      <c r="A652" s="219"/>
      <c r="B652" s="219"/>
      <c r="C652" s="220"/>
      <c r="D652" s="220"/>
      <c r="E652" s="220"/>
      <c r="F652" s="220"/>
      <c r="G652" s="220"/>
      <c r="H652" s="220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</row>
    <row r="653" spans="1:29" ht="15.75" customHeight="1" x14ac:dyDescent="0.25">
      <c r="A653" s="219"/>
      <c r="B653" s="219"/>
      <c r="C653" s="220"/>
      <c r="D653" s="220"/>
      <c r="E653" s="220"/>
      <c r="F653" s="220"/>
      <c r="G653" s="220"/>
      <c r="H653" s="220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</row>
    <row r="654" spans="1:29" ht="15.75" customHeight="1" x14ac:dyDescent="0.25">
      <c r="A654" s="219"/>
      <c r="B654" s="219"/>
      <c r="C654" s="220"/>
      <c r="D654" s="220"/>
      <c r="E654" s="220"/>
      <c r="F654" s="220"/>
      <c r="G654" s="220"/>
      <c r="H654" s="220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</row>
    <row r="655" spans="1:29" ht="15.75" customHeight="1" x14ac:dyDescent="0.25">
      <c r="A655" s="219"/>
      <c r="B655" s="219"/>
      <c r="C655" s="220"/>
      <c r="D655" s="220"/>
      <c r="E655" s="220"/>
      <c r="F655" s="220"/>
      <c r="G655" s="220"/>
      <c r="H655" s="220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  <c r="AC655" s="219"/>
    </row>
    <row r="656" spans="1:29" ht="15.75" customHeight="1" x14ac:dyDescent="0.25">
      <c r="A656" s="219"/>
      <c r="B656" s="219"/>
      <c r="C656" s="220"/>
      <c r="D656" s="220"/>
      <c r="E656" s="220"/>
      <c r="F656" s="220"/>
      <c r="G656" s="220"/>
      <c r="H656" s="220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  <c r="AC656" s="219"/>
    </row>
    <row r="657" spans="1:29" ht="15.75" customHeight="1" x14ac:dyDescent="0.25">
      <c r="A657" s="219"/>
      <c r="B657" s="219"/>
      <c r="C657" s="220"/>
      <c r="D657" s="220"/>
      <c r="E657" s="220"/>
      <c r="F657" s="220"/>
      <c r="G657" s="220"/>
      <c r="H657" s="220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  <c r="AC657" s="219"/>
    </row>
    <row r="658" spans="1:29" ht="15.75" customHeight="1" x14ac:dyDescent="0.25">
      <c r="A658" s="219"/>
      <c r="B658" s="219"/>
      <c r="C658" s="220"/>
      <c r="D658" s="220"/>
      <c r="E658" s="220"/>
      <c r="F658" s="220"/>
      <c r="G658" s="220"/>
      <c r="H658" s="220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  <c r="AC658" s="219"/>
    </row>
    <row r="659" spans="1:29" ht="15.75" customHeight="1" x14ac:dyDescent="0.25">
      <c r="A659" s="219"/>
      <c r="B659" s="219"/>
      <c r="C659" s="220"/>
      <c r="D659" s="220"/>
      <c r="E659" s="220"/>
      <c r="F659" s="220"/>
      <c r="G659" s="220"/>
      <c r="H659" s="220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  <c r="AC659" s="219"/>
    </row>
    <row r="660" spans="1:29" ht="15.75" customHeight="1" x14ac:dyDescent="0.25">
      <c r="A660" s="219"/>
      <c r="B660" s="219"/>
      <c r="C660" s="220"/>
      <c r="D660" s="220"/>
      <c r="E660" s="220"/>
      <c r="F660" s="220"/>
      <c r="G660" s="220"/>
      <c r="H660" s="220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  <c r="AC660" s="219"/>
    </row>
    <row r="661" spans="1:29" ht="15.75" customHeight="1" x14ac:dyDescent="0.25">
      <c r="A661" s="219"/>
      <c r="B661" s="219"/>
      <c r="C661" s="220"/>
      <c r="D661" s="220"/>
      <c r="E661" s="220"/>
      <c r="F661" s="220"/>
      <c r="G661" s="220"/>
      <c r="H661" s="220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  <c r="AC661" s="219"/>
    </row>
    <row r="662" spans="1:29" ht="15.75" customHeight="1" x14ac:dyDescent="0.25">
      <c r="A662" s="219"/>
      <c r="B662" s="219"/>
      <c r="C662" s="220"/>
      <c r="D662" s="220"/>
      <c r="E662" s="220"/>
      <c r="F662" s="220"/>
      <c r="G662" s="220"/>
      <c r="H662" s="220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  <c r="AC662" s="219"/>
    </row>
    <row r="663" spans="1:29" ht="15.75" customHeight="1" x14ac:dyDescent="0.25">
      <c r="A663" s="219"/>
      <c r="B663" s="219"/>
      <c r="C663" s="220"/>
      <c r="D663" s="220"/>
      <c r="E663" s="220"/>
      <c r="F663" s="220"/>
      <c r="G663" s="220"/>
      <c r="H663" s="220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  <c r="AC663" s="219"/>
    </row>
    <row r="664" spans="1:29" ht="15.75" customHeight="1" x14ac:dyDescent="0.25">
      <c r="A664" s="219"/>
      <c r="B664" s="219"/>
      <c r="C664" s="220"/>
      <c r="D664" s="220"/>
      <c r="E664" s="220"/>
      <c r="F664" s="220"/>
      <c r="G664" s="220"/>
      <c r="H664" s="220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</row>
    <row r="665" spans="1:29" ht="15.75" customHeight="1" x14ac:dyDescent="0.25">
      <c r="A665" s="219"/>
      <c r="B665" s="219"/>
      <c r="C665" s="220"/>
      <c r="D665" s="220"/>
      <c r="E665" s="220"/>
      <c r="F665" s="220"/>
      <c r="G665" s="220"/>
      <c r="H665" s="220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</row>
    <row r="666" spans="1:29" ht="15.75" customHeight="1" x14ac:dyDescent="0.25">
      <c r="A666" s="219"/>
      <c r="B666" s="219"/>
      <c r="C666" s="220"/>
      <c r="D666" s="220"/>
      <c r="E666" s="220"/>
      <c r="F666" s="220"/>
      <c r="G666" s="220"/>
      <c r="H666" s="220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</row>
    <row r="667" spans="1:29" ht="15.75" customHeight="1" x14ac:dyDescent="0.25">
      <c r="A667" s="219"/>
      <c r="B667" s="219"/>
      <c r="C667" s="220"/>
      <c r="D667" s="220"/>
      <c r="E667" s="220"/>
      <c r="F667" s="220"/>
      <c r="G667" s="220"/>
      <c r="H667" s="220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</row>
    <row r="668" spans="1:29" ht="15.75" customHeight="1" x14ac:dyDescent="0.25">
      <c r="A668" s="219"/>
      <c r="B668" s="219"/>
      <c r="C668" s="220"/>
      <c r="D668" s="220"/>
      <c r="E668" s="220"/>
      <c r="F668" s="220"/>
      <c r="G668" s="220"/>
      <c r="H668" s="220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</row>
    <row r="669" spans="1:29" ht="15.75" customHeight="1" x14ac:dyDescent="0.25">
      <c r="A669" s="219"/>
      <c r="B669" s="219"/>
      <c r="C669" s="220"/>
      <c r="D669" s="220"/>
      <c r="E669" s="220"/>
      <c r="F669" s="220"/>
      <c r="G669" s="220"/>
      <c r="H669" s="220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  <c r="AC669" s="219"/>
    </row>
    <row r="670" spans="1:29" ht="15.75" customHeight="1" x14ac:dyDescent="0.25">
      <c r="A670" s="219"/>
      <c r="B670" s="219"/>
      <c r="C670" s="220"/>
      <c r="D670" s="220"/>
      <c r="E670" s="220"/>
      <c r="F670" s="220"/>
      <c r="G670" s="220"/>
      <c r="H670" s="220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  <c r="AC670" s="219"/>
    </row>
    <row r="671" spans="1:29" ht="15.75" customHeight="1" x14ac:dyDescent="0.25">
      <c r="A671" s="219"/>
      <c r="B671" s="219"/>
      <c r="C671" s="220"/>
      <c r="D671" s="220"/>
      <c r="E671" s="220"/>
      <c r="F671" s="220"/>
      <c r="G671" s="220"/>
      <c r="H671" s="220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  <c r="AC671" s="219"/>
    </row>
    <row r="672" spans="1:29" ht="15.75" customHeight="1" x14ac:dyDescent="0.25">
      <c r="A672" s="219"/>
      <c r="B672" s="219"/>
      <c r="C672" s="220"/>
      <c r="D672" s="220"/>
      <c r="E672" s="220"/>
      <c r="F672" s="220"/>
      <c r="G672" s="220"/>
      <c r="H672" s="220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  <c r="AC672" s="219"/>
    </row>
    <row r="673" spans="1:29" ht="15.75" customHeight="1" x14ac:dyDescent="0.25">
      <c r="A673" s="219"/>
      <c r="B673" s="219"/>
      <c r="C673" s="220"/>
      <c r="D673" s="220"/>
      <c r="E673" s="220"/>
      <c r="F673" s="220"/>
      <c r="G673" s="220"/>
      <c r="H673" s="220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  <c r="AC673" s="219"/>
    </row>
    <row r="674" spans="1:29" ht="15.75" customHeight="1" x14ac:dyDescent="0.25">
      <c r="A674" s="219"/>
      <c r="B674" s="219"/>
      <c r="C674" s="220"/>
      <c r="D674" s="220"/>
      <c r="E674" s="220"/>
      <c r="F674" s="220"/>
      <c r="G674" s="220"/>
      <c r="H674" s="220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  <c r="AC674" s="219"/>
    </row>
    <row r="675" spans="1:29" ht="15.75" customHeight="1" x14ac:dyDescent="0.25">
      <c r="A675" s="219"/>
      <c r="B675" s="219"/>
      <c r="C675" s="220"/>
      <c r="D675" s="220"/>
      <c r="E675" s="220"/>
      <c r="F675" s="220"/>
      <c r="G675" s="220"/>
      <c r="H675" s="220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  <c r="AC675" s="219"/>
    </row>
    <row r="676" spans="1:29" ht="15.75" customHeight="1" x14ac:dyDescent="0.25">
      <c r="A676" s="219"/>
      <c r="B676" s="219"/>
      <c r="C676" s="220"/>
      <c r="D676" s="220"/>
      <c r="E676" s="220"/>
      <c r="F676" s="220"/>
      <c r="G676" s="220"/>
      <c r="H676" s="220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  <c r="AC676" s="219"/>
    </row>
    <row r="677" spans="1:29" ht="15.75" customHeight="1" x14ac:dyDescent="0.25">
      <c r="A677" s="219"/>
      <c r="B677" s="219"/>
      <c r="C677" s="220"/>
      <c r="D677" s="220"/>
      <c r="E677" s="220"/>
      <c r="F677" s="220"/>
      <c r="G677" s="220"/>
      <c r="H677" s="220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  <c r="AC677" s="219"/>
    </row>
    <row r="678" spans="1:29" ht="15.75" customHeight="1" x14ac:dyDescent="0.25">
      <c r="A678" s="219"/>
      <c r="B678" s="219"/>
      <c r="C678" s="220"/>
      <c r="D678" s="220"/>
      <c r="E678" s="220"/>
      <c r="F678" s="220"/>
      <c r="G678" s="220"/>
      <c r="H678" s="220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  <c r="AC678" s="219"/>
    </row>
    <row r="679" spans="1:29" ht="15.75" customHeight="1" x14ac:dyDescent="0.25">
      <c r="A679" s="219"/>
      <c r="B679" s="219"/>
      <c r="C679" s="220"/>
      <c r="D679" s="220"/>
      <c r="E679" s="220"/>
      <c r="F679" s="220"/>
      <c r="G679" s="220"/>
      <c r="H679" s="220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  <c r="AC679" s="219"/>
    </row>
    <row r="680" spans="1:29" ht="15.75" customHeight="1" x14ac:dyDescent="0.25">
      <c r="A680" s="219"/>
      <c r="B680" s="219"/>
      <c r="C680" s="220"/>
      <c r="D680" s="220"/>
      <c r="E680" s="220"/>
      <c r="F680" s="220"/>
      <c r="G680" s="220"/>
      <c r="H680" s="220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  <c r="AC680" s="219"/>
    </row>
    <row r="681" spans="1:29" ht="15.75" customHeight="1" x14ac:dyDescent="0.25">
      <c r="A681" s="219"/>
      <c r="B681" s="219"/>
      <c r="C681" s="220"/>
      <c r="D681" s="220"/>
      <c r="E681" s="220"/>
      <c r="F681" s="220"/>
      <c r="G681" s="220"/>
      <c r="H681" s="220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  <c r="AC681" s="219"/>
    </row>
    <row r="682" spans="1:29" ht="15.75" customHeight="1" x14ac:dyDescent="0.25">
      <c r="A682" s="219"/>
      <c r="B682" s="219"/>
      <c r="C682" s="220"/>
      <c r="D682" s="220"/>
      <c r="E682" s="220"/>
      <c r="F682" s="220"/>
      <c r="G682" s="220"/>
      <c r="H682" s="220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  <c r="AC682" s="219"/>
    </row>
    <row r="683" spans="1:29" ht="15.75" customHeight="1" x14ac:dyDescent="0.25">
      <c r="A683" s="219"/>
      <c r="B683" s="219"/>
      <c r="C683" s="220"/>
      <c r="D683" s="220"/>
      <c r="E683" s="220"/>
      <c r="F683" s="220"/>
      <c r="G683" s="220"/>
      <c r="H683" s="220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  <c r="AC683" s="219"/>
    </row>
    <row r="684" spans="1:29" ht="15.75" customHeight="1" x14ac:dyDescent="0.25">
      <c r="A684" s="219"/>
      <c r="B684" s="219"/>
      <c r="C684" s="220"/>
      <c r="D684" s="220"/>
      <c r="E684" s="220"/>
      <c r="F684" s="220"/>
      <c r="G684" s="220"/>
      <c r="H684" s="220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  <c r="AC684" s="219"/>
    </row>
    <row r="685" spans="1:29" ht="15.75" customHeight="1" x14ac:dyDescent="0.25">
      <c r="A685" s="219"/>
      <c r="B685" s="219"/>
      <c r="C685" s="220"/>
      <c r="D685" s="220"/>
      <c r="E685" s="220"/>
      <c r="F685" s="220"/>
      <c r="G685" s="220"/>
      <c r="H685" s="220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  <c r="AC685" s="219"/>
    </row>
    <row r="686" spans="1:29" ht="15.75" customHeight="1" x14ac:dyDescent="0.25">
      <c r="A686" s="219"/>
      <c r="B686" s="219"/>
      <c r="C686" s="220"/>
      <c r="D686" s="220"/>
      <c r="E686" s="220"/>
      <c r="F686" s="220"/>
      <c r="G686" s="220"/>
      <c r="H686" s="220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  <c r="AB686" s="219"/>
      <c r="AC686" s="219"/>
    </row>
    <row r="687" spans="1:29" ht="15.75" customHeight="1" x14ac:dyDescent="0.25">
      <c r="A687" s="219"/>
      <c r="B687" s="219"/>
      <c r="C687" s="220"/>
      <c r="D687" s="220"/>
      <c r="E687" s="220"/>
      <c r="F687" s="220"/>
      <c r="G687" s="220"/>
      <c r="H687" s="220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  <c r="AC687" s="219"/>
    </row>
    <row r="688" spans="1:29" ht="15.75" customHeight="1" x14ac:dyDescent="0.25">
      <c r="A688" s="219"/>
      <c r="B688" s="219"/>
      <c r="C688" s="220"/>
      <c r="D688" s="220"/>
      <c r="E688" s="220"/>
      <c r="F688" s="220"/>
      <c r="G688" s="220"/>
      <c r="H688" s="220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  <c r="AC688" s="219"/>
    </row>
    <row r="689" spans="1:29" ht="15.75" customHeight="1" x14ac:dyDescent="0.25">
      <c r="A689" s="219"/>
      <c r="B689" s="219"/>
      <c r="C689" s="220"/>
      <c r="D689" s="220"/>
      <c r="E689" s="220"/>
      <c r="F689" s="220"/>
      <c r="G689" s="220"/>
      <c r="H689" s="220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  <c r="AC689" s="219"/>
    </row>
    <row r="690" spans="1:29" ht="15.75" customHeight="1" x14ac:dyDescent="0.25">
      <c r="A690" s="219"/>
      <c r="B690" s="219"/>
      <c r="C690" s="220"/>
      <c r="D690" s="220"/>
      <c r="E690" s="220"/>
      <c r="F690" s="220"/>
      <c r="G690" s="220"/>
      <c r="H690" s="220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  <c r="AC690" s="219"/>
    </row>
    <row r="691" spans="1:29" ht="15.75" customHeight="1" x14ac:dyDescent="0.25">
      <c r="A691" s="219"/>
      <c r="B691" s="219"/>
      <c r="C691" s="220"/>
      <c r="D691" s="220"/>
      <c r="E691" s="220"/>
      <c r="F691" s="220"/>
      <c r="G691" s="220"/>
      <c r="H691" s="220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  <c r="AC691" s="219"/>
    </row>
    <row r="692" spans="1:29" ht="15.75" customHeight="1" x14ac:dyDescent="0.25">
      <c r="A692" s="219"/>
      <c r="B692" s="219"/>
      <c r="C692" s="220"/>
      <c r="D692" s="220"/>
      <c r="E692" s="220"/>
      <c r="F692" s="220"/>
      <c r="G692" s="220"/>
      <c r="H692" s="220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</row>
    <row r="693" spans="1:29" ht="15.75" customHeight="1" x14ac:dyDescent="0.25">
      <c r="A693" s="219"/>
      <c r="B693" s="219"/>
      <c r="C693" s="220"/>
      <c r="D693" s="220"/>
      <c r="E693" s="220"/>
      <c r="F693" s="220"/>
      <c r="G693" s="220"/>
      <c r="H693" s="220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</row>
    <row r="694" spans="1:29" ht="15.75" customHeight="1" x14ac:dyDescent="0.25">
      <c r="A694" s="219"/>
      <c r="B694" s="219"/>
      <c r="C694" s="220"/>
      <c r="D694" s="220"/>
      <c r="E694" s="220"/>
      <c r="F694" s="220"/>
      <c r="G694" s="220"/>
      <c r="H694" s="220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</row>
    <row r="695" spans="1:29" ht="15.75" customHeight="1" x14ac:dyDescent="0.25">
      <c r="A695" s="219"/>
      <c r="B695" s="219"/>
      <c r="C695" s="220"/>
      <c r="D695" s="220"/>
      <c r="E695" s="220"/>
      <c r="F695" s="220"/>
      <c r="G695" s="220"/>
      <c r="H695" s="220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</row>
    <row r="696" spans="1:29" ht="15.75" customHeight="1" x14ac:dyDescent="0.25">
      <c r="A696" s="219"/>
      <c r="B696" s="219"/>
      <c r="C696" s="220"/>
      <c r="D696" s="220"/>
      <c r="E696" s="220"/>
      <c r="F696" s="220"/>
      <c r="G696" s="220"/>
      <c r="H696" s="220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</row>
    <row r="697" spans="1:29" ht="15.75" customHeight="1" x14ac:dyDescent="0.25">
      <c r="A697" s="219"/>
      <c r="B697" s="219"/>
      <c r="C697" s="220"/>
      <c r="D697" s="220"/>
      <c r="E697" s="220"/>
      <c r="F697" s="220"/>
      <c r="G697" s="220"/>
      <c r="H697" s="220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  <c r="AC697" s="219"/>
    </row>
    <row r="698" spans="1:29" ht="15.75" customHeight="1" x14ac:dyDescent="0.25">
      <c r="A698" s="219"/>
      <c r="B698" s="219"/>
      <c r="C698" s="220"/>
      <c r="D698" s="220"/>
      <c r="E698" s="220"/>
      <c r="F698" s="220"/>
      <c r="G698" s="220"/>
      <c r="H698" s="220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</row>
    <row r="699" spans="1:29" ht="15.75" customHeight="1" x14ac:dyDescent="0.25">
      <c r="A699" s="219"/>
      <c r="B699" s="219"/>
      <c r="C699" s="220"/>
      <c r="D699" s="220"/>
      <c r="E699" s="220"/>
      <c r="F699" s="220"/>
      <c r="G699" s="220"/>
      <c r="H699" s="220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</row>
    <row r="700" spans="1:29" ht="15.75" customHeight="1" x14ac:dyDescent="0.25">
      <c r="A700" s="219"/>
      <c r="B700" s="219"/>
      <c r="C700" s="220"/>
      <c r="D700" s="220"/>
      <c r="E700" s="220"/>
      <c r="F700" s="220"/>
      <c r="G700" s="220"/>
      <c r="H700" s="220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  <c r="AC700" s="219"/>
    </row>
    <row r="701" spans="1:29" ht="15.75" customHeight="1" x14ac:dyDescent="0.25">
      <c r="A701" s="219"/>
      <c r="B701" s="219"/>
      <c r="C701" s="220"/>
      <c r="D701" s="220"/>
      <c r="E701" s="220"/>
      <c r="F701" s="220"/>
      <c r="G701" s="220"/>
      <c r="H701" s="220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  <c r="AC701" s="219"/>
    </row>
    <row r="702" spans="1:29" ht="15.75" customHeight="1" x14ac:dyDescent="0.25">
      <c r="A702" s="219"/>
      <c r="B702" s="219"/>
      <c r="C702" s="220"/>
      <c r="D702" s="220"/>
      <c r="E702" s="220"/>
      <c r="F702" s="220"/>
      <c r="G702" s="220"/>
      <c r="H702" s="220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  <c r="AC702" s="219"/>
    </row>
    <row r="703" spans="1:29" ht="15.75" customHeight="1" x14ac:dyDescent="0.25">
      <c r="A703" s="219"/>
      <c r="B703" s="219"/>
      <c r="C703" s="220"/>
      <c r="D703" s="220"/>
      <c r="E703" s="220"/>
      <c r="F703" s="220"/>
      <c r="G703" s="220"/>
      <c r="H703" s="220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  <c r="AC703" s="219"/>
    </row>
    <row r="704" spans="1:29" ht="15.75" customHeight="1" x14ac:dyDescent="0.25">
      <c r="A704" s="219"/>
      <c r="B704" s="219"/>
      <c r="C704" s="220"/>
      <c r="D704" s="220"/>
      <c r="E704" s="220"/>
      <c r="F704" s="220"/>
      <c r="G704" s="220"/>
      <c r="H704" s="220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</row>
    <row r="705" spans="1:29" ht="15.75" customHeight="1" x14ac:dyDescent="0.25">
      <c r="A705" s="219"/>
      <c r="B705" s="219"/>
      <c r="C705" s="220"/>
      <c r="D705" s="220"/>
      <c r="E705" s="220"/>
      <c r="F705" s="220"/>
      <c r="G705" s="220"/>
      <c r="H705" s="220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</row>
    <row r="706" spans="1:29" ht="15.75" customHeight="1" x14ac:dyDescent="0.25">
      <c r="A706" s="219"/>
      <c r="B706" s="219"/>
      <c r="C706" s="220"/>
      <c r="D706" s="220"/>
      <c r="E706" s="220"/>
      <c r="F706" s="220"/>
      <c r="G706" s="220"/>
      <c r="H706" s="220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</row>
    <row r="707" spans="1:29" ht="15.75" customHeight="1" x14ac:dyDescent="0.25">
      <c r="A707" s="219"/>
      <c r="B707" s="219"/>
      <c r="C707" s="220"/>
      <c r="D707" s="220"/>
      <c r="E707" s="220"/>
      <c r="F707" s="220"/>
      <c r="G707" s="220"/>
      <c r="H707" s="220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</row>
    <row r="708" spans="1:29" ht="15.75" customHeight="1" x14ac:dyDescent="0.25">
      <c r="A708" s="219"/>
      <c r="B708" s="219"/>
      <c r="C708" s="220"/>
      <c r="D708" s="220"/>
      <c r="E708" s="220"/>
      <c r="F708" s="220"/>
      <c r="G708" s="220"/>
      <c r="H708" s="220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</row>
    <row r="709" spans="1:29" ht="15.75" customHeight="1" x14ac:dyDescent="0.25">
      <c r="A709" s="219"/>
      <c r="B709" s="219"/>
      <c r="C709" s="220"/>
      <c r="D709" s="220"/>
      <c r="E709" s="220"/>
      <c r="F709" s="220"/>
      <c r="G709" s="220"/>
      <c r="H709" s="220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</row>
    <row r="710" spans="1:29" ht="15.75" customHeight="1" x14ac:dyDescent="0.25">
      <c r="A710" s="219"/>
      <c r="B710" s="219"/>
      <c r="C710" s="220"/>
      <c r="D710" s="220"/>
      <c r="E710" s="220"/>
      <c r="F710" s="220"/>
      <c r="G710" s="220"/>
      <c r="H710" s="220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</row>
    <row r="711" spans="1:29" ht="15.75" customHeight="1" x14ac:dyDescent="0.25">
      <c r="A711" s="219"/>
      <c r="B711" s="219"/>
      <c r="C711" s="220"/>
      <c r="D711" s="220"/>
      <c r="E711" s="220"/>
      <c r="F711" s="220"/>
      <c r="G711" s="220"/>
      <c r="H711" s="220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  <c r="AC711" s="219"/>
    </row>
    <row r="712" spans="1:29" ht="15.75" customHeight="1" x14ac:dyDescent="0.25">
      <c r="A712" s="219"/>
      <c r="B712" s="219"/>
      <c r="C712" s="220"/>
      <c r="D712" s="220"/>
      <c r="E712" s="220"/>
      <c r="F712" s="220"/>
      <c r="G712" s="220"/>
      <c r="H712" s="220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  <c r="AC712" s="219"/>
    </row>
    <row r="713" spans="1:29" ht="15.75" customHeight="1" x14ac:dyDescent="0.25">
      <c r="A713" s="219"/>
      <c r="B713" s="219"/>
      <c r="C713" s="220"/>
      <c r="D713" s="220"/>
      <c r="E713" s="220"/>
      <c r="F713" s="220"/>
      <c r="G713" s="220"/>
      <c r="H713" s="220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  <c r="AC713" s="219"/>
    </row>
    <row r="714" spans="1:29" ht="15.75" customHeight="1" x14ac:dyDescent="0.25">
      <c r="A714" s="219"/>
      <c r="B714" s="219"/>
      <c r="C714" s="220"/>
      <c r="D714" s="220"/>
      <c r="E714" s="220"/>
      <c r="F714" s="220"/>
      <c r="G714" s="220"/>
      <c r="H714" s="220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  <c r="AC714" s="219"/>
    </row>
    <row r="715" spans="1:29" ht="15.75" customHeight="1" x14ac:dyDescent="0.25">
      <c r="A715" s="219"/>
      <c r="B715" s="219"/>
      <c r="C715" s="220"/>
      <c r="D715" s="220"/>
      <c r="E715" s="220"/>
      <c r="F715" s="220"/>
      <c r="G715" s="220"/>
      <c r="H715" s="220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  <c r="AC715" s="219"/>
    </row>
    <row r="716" spans="1:29" ht="15.75" customHeight="1" x14ac:dyDescent="0.25">
      <c r="A716" s="219"/>
      <c r="B716" s="219"/>
      <c r="C716" s="220"/>
      <c r="D716" s="220"/>
      <c r="E716" s="220"/>
      <c r="F716" s="220"/>
      <c r="G716" s="220"/>
      <c r="H716" s="220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  <c r="AC716" s="219"/>
    </row>
    <row r="717" spans="1:29" ht="15.75" customHeight="1" x14ac:dyDescent="0.25">
      <c r="A717" s="219"/>
      <c r="B717" s="219"/>
      <c r="C717" s="220"/>
      <c r="D717" s="220"/>
      <c r="E717" s="220"/>
      <c r="F717" s="220"/>
      <c r="G717" s="220"/>
      <c r="H717" s="220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  <c r="AC717" s="219"/>
    </row>
    <row r="718" spans="1:29" ht="15.75" customHeight="1" x14ac:dyDescent="0.25">
      <c r="A718" s="219"/>
      <c r="B718" s="219"/>
      <c r="C718" s="220"/>
      <c r="D718" s="220"/>
      <c r="E718" s="220"/>
      <c r="F718" s="220"/>
      <c r="G718" s="220"/>
      <c r="H718" s="220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  <c r="AC718" s="219"/>
    </row>
    <row r="719" spans="1:29" ht="15.75" customHeight="1" x14ac:dyDescent="0.25">
      <c r="A719" s="219"/>
      <c r="B719" s="219"/>
      <c r="C719" s="220"/>
      <c r="D719" s="220"/>
      <c r="E719" s="220"/>
      <c r="F719" s="220"/>
      <c r="G719" s="220"/>
      <c r="H719" s="220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</row>
    <row r="720" spans="1:29" ht="15.75" customHeight="1" x14ac:dyDescent="0.25">
      <c r="A720" s="219"/>
      <c r="B720" s="219"/>
      <c r="C720" s="220"/>
      <c r="D720" s="220"/>
      <c r="E720" s="220"/>
      <c r="F720" s="220"/>
      <c r="G720" s="220"/>
      <c r="H720" s="220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</row>
    <row r="721" spans="1:29" ht="15.75" customHeight="1" x14ac:dyDescent="0.25">
      <c r="A721" s="219"/>
      <c r="B721" s="219"/>
      <c r="C721" s="220"/>
      <c r="D721" s="220"/>
      <c r="E721" s="220"/>
      <c r="F721" s="220"/>
      <c r="G721" s="220"/>
      <c r="H721" s="220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  <c r="AC721" s="219"/>
    </row>
    <row r="722" spans="1:29" ht="15.75" customHeight="1" x14ac:dyDescent="0.25">
      <c r="A722" s="219"/>
      <c r="B722" s="219"/>
      <c r="C722" s="220"/>
      <c r="D722" s="220"/>
      <c r="E722" s="220"/>
      <c r="F722" s="220"/>
      <c r="G722" s="220"/>
      <c r="H722" s="220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  <c r="AC722" s="219"/>
    </row>
    <row r="723" spans="1:29" ht="15.75" customHeight="1" x14ac:dyDescent="0.25">
      <c r="A723" s="219"/>
      <c r="B723" s="219"/>
      <c r="C723" s="220"/>
      <c r="D723" s="220"/>
      <c r="E723" s="220"/>
      <c r="F723" s="220"/>
      <c r="G723" s="220"/>
      <c r="H723" s="220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  <c r="AC723" s="219"/>
    </row>
    <row r="724" spans="1:29" ht="15.75" customHeight="1" x14ac:dyDescent="0.25">
      <c r="A724" s="219"/>
      <c r="B724" s="219"/>
      <c r="C724" s="220"/>
      <c r="D724" s="220"/>
      <c r="E724" s="220"/>
      <c r="F724" s="220"/>
      <c r="G724" s="220"/>
      <c r="H724" s="220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  <c r="AC724" s="219"/>
    </row>
    <row r="725" spans="1:29" ht="15.75" customHeight="1" x14ac:dyDescent="0.25">
      <c r="A725" s="219"/>
      <c r="B725" s="219"/>
      <c r="C725" s="220"/>
      <c r="D725" s="220"/>
      <c r="E725" s="220"/>
      <c r="F725" s="220"/>
      <c r="G725" s="220"/>
      <c r="H725" s="220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  <c r="AC725" s="219"/>
    </row>
    <row r="726" spans="1:29" ht="15.75" customHeight="1" x14ac:dyDescent="0.25">
      <c r="A726" s="219"/>
      <c r="B726" s="219"/>
      <c r="C726" s="220"/>
      <c r="D726" s="220"/>
      <c r="E726" s="220"/>
      <c r="F726" s="220"/>
      <c r="G726" s="220"/>
      <c r="H726" s="220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  <c r="AC726" s="219"/>
    </row>
    <row r="727" spans="1:29" ht="15.75" customHeight="1" x14ac:dyDescent="0.25">
      <c r="A727" s="219"/>
      <c r="B727" s="219"/>
      <c r="C727" s="220"/>
      <c r="D727" s="220"/>
      <c r="E727" s="220"/>
      <c r="F727" s="220"/>
      <c r="G727" s="220"/>
      <c r="H727" s="220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  <c r="AC727" s="219"/>
    </row>
    <row r="728" spans="1:29" ht="15.75" customHeight="1" x14ac:dyDescent="0.25">
      <c r="A728" s="219"/>
      <c r="B728" s="219"/>
      <c r="C728" s="220"/>
      <c r="D728" s="220"/>
      <c r="E728" s="220"/>
      <c r="F728" s="220"/>
      <c r="G728" s="220"/>
      <c r="H728" s="220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  <c r="AC728" s="219"/>
    </row>
    <row r="729" spans="1:29" ht="15.75" customHeight="1" x14ac:dyDescent="0.25">
      <c r="A729" s="219"/>
      <c r="B729" s="219"/>
      <c r="C729" s="220"/>
      <c r="D729" s="220"/>
      <c r="E729" s="220"/>
      <c r="F729" s="220"/>
      <c r="G729" s="220"/>
      <c r="H729" s="220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  <c r="AC729" s="219"/>
    </row>
    <row r="730" spans="1:29" ht="15.75" customHeight="1" x14ac:dyDescent="0.25">
      <c r="A730" s="219"/>
      <c r="B730" s="219"/>
      <c r="C730" s="220"/>
      <c r="D730" s="220"/>
      <c r="E730" s="220"/>
      <c r="F730" s="220"/>
      <c r="G730" s="220"/>
      <c r="H730" s="220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  <c r="AC730" s="219"/>
    </row>
    <row r="731" spans="1:29" ht="15.75" customHeight="1" x14ac:dyDescent="0.25">
      <c r="A731" s="219"/>
      <c r="B731" s="219"/>
      <c r="C731" s="220"/>
      <c r="D731" s="220"/>
      <c r="E731" s="220"/>
      <c r="F731" s="220"/>
      <c r="G731" s="220"/>
      <c r="H731" s="220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  <c r="AC731" s="219"/>
    </row>
    <row r="732" spans="1:29" ht="15.75" customHeight="1" x14ac:dyDescent="0.25">
      <c r="A732" s="219"/>
      <c r="B732" s="219"/>
      <c r="C732" s="220"/>
      <c r="D732" s="220"/>
      <c r="E732" s="220"/>
      <c r="F732" s="220"/>
      <c r="G732" s="220"/>
      <c r="H732" s="220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  <c r="AC732" s="219"/>
    </row>
    <row r="733" spans="1:29" ht="15.75" customHeight="1" x14ac:dyDescent="0.25">
      <c r="A733" s="219"/>
      <c r="B733" s="219"/>
      <c r="C733" s="220"/>
      <c r="D733" s="220"/>
      <c r="E733" s="220"/>
      <c r="F733" s="220"/>
      <c r="G733" s="220"/>
      <c r="H733" s="220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  <c r="AC733" s="219"/>
    </row>
    <row r="734" spans="1:29" ht="15.75" customHeight="1" x14ac:dyDescent="0.25">
      <c r="A734" s="219"/>
      <c r="B734" s="219"/>
      <c r="C734" s="220"/>
      <c r="D734" s="220"/>
      <c r="E734" s="220"/>
      <c r="F734" s="220"/>
      <c r="G734" s="220"/>
      <c r="H734" s="220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  <c r="AC734" s="219"/>
    </row>
    <row r="735" spans="1:29" ht="15.75" customHeight="1" x14ac:dyDescent="0.25">
      <c r="A735" s="219"/>
      <c r="B735" s="219"/>
      <c r="C735" s="220"/>
      <c r="D735" s="220"/>
      <c r="E735" s="220"/>
      <c r="F735" s="220"/>
      <c r="G735" s="220"/>
      <c r="H735" s="220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  <c r="AC735" s="219"/>
    </row>
    <row r="736" spans="1:29" ht="15.75" customHeight="1" x14ac:dyDescent="0.25">
      <c r="A736" s="219"/>
      <c r="B736" s="219"/>
      <c r="C736" s="220"/>
      <c r="D736" s="220"/>
      <c r="E736" s="220"/>
      <c r="F736" s="220"/>
      <c r="G736" s="220"/>
      <c r="H736" s="220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  <c r="AC736" s="219"/>
    </row>
    <row r="737" spans="1:29" ht="15.75" customHeight="1" x14ac:dyDescent="0.25">
      <c r="A737" s="219"/>
      <c r="B737" s="219"/>
      <c r="C737" s="220"/>
      <c r="D737" s="220"/>
      <c r="E737" s="220"/>
      <c r="F737" s="220"/>
      <c r="G737" s="220"/>
      <c r="H737" s="220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  <c r="AC737" s="219"/>
    </row>
    <row r="738" spans="1:29" ht="15.75" customHeight="1" x14ac:dyDescent="0.25">
      <c r="A738" s="219"/>
      <c r="B738" s="219"/>
      <c r="C738" s="220"/>
      <c r="D738" s="220"/>
      <c r="E738" s="220"/>
      <c r="F738" s="220"/>
      <c r="G738" s="220"/>
      <c r="H738" s="220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  <c r="AB738" s="219"/>
      <c r="AC738" s="219"/>
    </row>
    <row r="739" spans="1:29" ht="15.75" customHeight="1" x14ac:dyDescent="0.25">
      <c r="A739" s="219"/>
      <c r="B739" s="219"/>
      <c r="C739" s="220"/>
      <c r="D739" s="220"/>
      <c r="E739" s="220"/>
      <c r="F739" s="220"/>
      <c r="G739" s="220"/>
      <c r="H739" s="220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  <c r="AC739" s="219"/>
    </row>
    <row r="740" spans="1:29" ht="15.75" customHeight="1" x14ac:dyDescent="0.25">
      <c r="A740" s="219"/>
      <c r="B740" s="219"/>
      <c r="C740" s="220"/>
      <c r="D740" s="220"/>
      <c r="E740" s="220"/>
      <c r="F740" s="220"/>
      <c r="G740" s="220"/>
      <c r="H740" s="220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  <c r="AB740" s="219"/>
      <c r="AC740" s="219"/>
    </row>
    <row r="741" spans="1:29" ht="15.75" customHeight="1" x14ac:dyDescent="0.25">
      <c r="A741" s="219"/>
      <c r="B741" s="219"/>
      <c r="C741" s="220"/>
      <c r="D741" s="220"/>
      <c r="E741" s="220"/>
      <c r="F741" s="220"/>
      <c r="G741" s="220"/>
      <c r="H741" s="220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  <c r="AC741" s="219"/>
    </row>
    <row r="742" spans="1:29" ht="15.75" customHeight="1" x14ac:dyDescent="0.25">
      <c r="A742" s="219"/>
      <c r="B742" s="219"/>
      <c r="C742" s="220"/>
      <c r="D742" s="220"/>
      <c r="E742" s="220"/>
      <c r="F742" s="220"/>
      <c r="G742" s="220"/>
      <c r="H742" s="220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  <c r="AB742" s="219"/>
      <c r="AC742" s="219"/>
    </row>
    <row r="743" spans="1:29" ht="15.75" customHeight="1" x14ac:dyDescent="0.25">
      <c r="A743" s="219"/>
      <c r="B743" s="219"/>
      <c r="C743" s="220"/>
      <c r="D743" s="220"/>
      <c r="E743" s="220"/>
      <c r="F743" s="220"/>
      <c r="G743" s="220"/>
      <c r="H743" s="220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  <c r="AC743" s="219"/>
    </row>
    <row r="744" spans="1:29" ht="15.75" customHeight="1" x14ac:dyDescent="0.25">
      <c r="A744" s="219"/>
      <c r="B744" s="219"/>
      <c r="C744" s="220"/>
      <c r="D744" s="220"/>
      <c r="E744" s="220"/>
      <c r="F744" s="220"/>
      <c r="G744" s="220"/>
      <c r="H744" s="220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  <c r="AB744" s="219"/>
      <c r="AC744" s="219"/>
    </row>
    <row r="745" spans="1:29" ht="15.75" customHeight="1" x14ac:dyDescent="0.25">
      <c r="A745" s="219"/>
      <c r="B745" s="219"/>
      <c r="C745" s="220"/>
      <c r="D745" s="220"/>
      <c r="E745" s="220"/>
      <c r="F745" s="220"/>
      <c r="G745" s="220"/>
      <c r="H745" s="220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  <c r="AC745" s="219"/>
    </row>
    <row r="746" spans="1:29" ht="15.75" customHeight="1" x14ac:dyDescent="0.25">
      <c r="A746" s="219"/>
      <c r="B746" s="219"/>
      <c r="C746" s="220"/>
      <c r="D746" s="220"/>
      <c r="E746" s="220"/>
      <c r="F746" s="220"/>
      <c r="G746" s="220"/>
      <c r="H746" s="220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  <c r="AB746" s="219"/>
      <c r="AC746" s="219"/>
    </row>
    <row r="747" spans="1:29" ht="15.75" customHeight="1" x14ac:dyDescent="0.25">
      <c r="A747" s="219"/>
      <c r="B747" s="219"/>
      <c r="C747" s="220"/>
      <c r="D747" s="220"/>
      <c r="E747" s="220"/>
      <c r="F747" s="220"/>
      <c r="G747" s="220"/>
      <c r="H747" s="220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  <c r="AC747" s="219"/>
    </row>
    <row r="748" spans="1:29" ht="15.75" customHeight="1" x14ac:dyDescent="0.25">
      <c r="A748" s="219"/>
      <c r="B748" s="219"/>
      <c r="C748" s="220"/>
      <c r="D748" s="220"/>
      <c r="E748" s="220"/>
      <c r="F748" s="220"/>
      <c r="G748" s="220"/>
      <c r="H748" s="220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  <c r="AC748" s="219"/>
    </row>
    <row r="749" spans="1:29" ht="15.75" customHeight="1" x14ac:dyDescent="0.25">
      <c r="A749" s="219"/>
      <c r="B749" s="219"/>
      <c r="C749" s="220"/>
      <c r="D749" s="220"/>
      <c r="E749" s="220"/>
      <c r="F749" s="220"/>
      <c r="G749" s="220"/>
      <c r="H749" s="220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  <c r="AC749" s="219"/>
    </row>
    <row r="750" spans="1:29" ht="15.75" customHeight="1" x14ac:dyDescent="0.25">
      <c r="A750" s="219"/>
      <c r="B750" s="219"/>
      <c r="C750" s="220"/>
      <c r="D750" s="220"/>
      <c r="E750" s="220"/>
      <c r="F750" s="220"/>
      <c r="G750" s="220"/>
      <c r="H750" s="220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  <c r="AC750" s="219"/>
    </row>
    <row r="751" spans="1:29" ht="15.75" customHeight="1" x14ac:dyDescent="0.25">
      <c r="A751" s="219"/>
      <c r="B751" s="219"/>
      <c r="C751" s="220"/>
      <c r="D751" s="220"/>
      <c r="E751" s="220"/>
      <c r="F751" s="220"/>
      <c r="G751" s="220"/>
      <c r="H751" s="220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  <c r="AC751" s="219"/>
    </row>
    <row r="752" spans="1:29" ht="15.75" customHeight="1" x14ac:dyDescent="0.25">
      <c r="A752" s="219"/>
      <c r="B752" s="219"/>
      <c r="C752" s="220"/>
      <c r="D752" s="220"/>
      <c r="E752" s="220"/>
      <c r="F752" s="220"/>
      <c r="G752" s="220"/>
      <c r="H752" s="220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  <c r="AC752" s="219"/>
    </row>
    <row r="753" spans="1:29" ht="15.75" customHeight="1" x14ac:dyDescent="0.25">
      <c r="A753" s="219"/>
      <c r="B753" s="219"/>
      <c r="C753" s="220"/>
      <c r="D753" s="220"/>
      <c r="E753" s="220"/>
      <c r="F753" s="220"/>
      <c r="G753" s="220"/>
      <c r="H753" s="220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  <c r="AC753" s="219"/>
    </row>
    <row r="754" spans="1:29" ht="15.75" customHeight="1" x14ac:dyDescent="0.25">
      <c r="A754" s="219"/>
      <c r="B754" s="219"/>
      <c r="C754" s="220"/>
      <c r="D754" s="220"/>
      <c r="E754" s="220"/>
      <c r="F754" s="220"/>
      <c r="G754" s="220"/>
      <c r="H754" s="220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  <c r="AC754" s="219"/>
    </row>
    <row r="755" spans="1:29" ht="15.75" customHeight="1" x14ac:dyDescent="0.25">
      <c r="A755" s="219"/>
      <c r="B755" s="219"/>
      <c r="C755" s="220"/>
      <c r="D755" s="220"/>
      <c r="E755" s="220"/>
      <c r="F755" s="220"/>
      <c r="G755" s="220"/>
      <c r="H755" s="220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  <c r="AC755" s="219"/>
    </row>
    <row r="756" spans="1:29" ht="15.75" customHeight="1" x14ac:dyDescent="0.25">
      <c r="A756" s="219"/>
      <c r="B756" s="219"/>
      <c r="C756" s="220"/>
      <c r="D756" s="220"/>
      <c r="E756" s="220"/>
      <c r="F756" s="220"/>
      <c r="G756" s="220"/>
      <c r="H756" s="220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  <c r="AC756" s="219"/>
    </row>
    <row r="757" spans="1:29" ht="15.75" customHeight="1" x14ac:dyDescent="0.25">
      <c r="A757" s="219"/>
      <c r="B757" s="219"/>
      <c r="C757" s="220"/>
      <c r="D757" s="220"/>
      <c r="E757" s="220"/>
      <c r="F757" s="220"/>
      <c r="G757" s="220"/>
      <c r="H757" s="220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  <c r="AC757" s="219"/>
    </row>
    <row r="758" spans="1:29" ht="15.75" customHeight="1" x14ac:dyDescent="0.25">
      <c r="A758" s="219"/>
      <c r="B758" s="219"/>
      <c r="C758" s="220"/>
      <c r="D758" s="220"/>
      <c r="E758" s="220"/>
      <c r="F758" s="220"/>
      <c r="G758" s="220"/>
      <c r="H758" s="220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</row>
    <row r="759" spans="1:29" ht="15.75" customHeight="1" x14ac:dyDescent="0.25">
      <c r="A759" s="219"/>
      <c r="B759" s="219"/>
      <c r="C759" s="220"/>
      <c r="D759" s="220"/>
      <c r="E759" s="220"/>
      <c r="F759" s="220"/>
      <c r="G759" s="220"/>
      <c r="H759" s="220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</row>
    <row r="760" spans="1:29" ht="15.75" customHeight="1" x14ac:dyDescent="0.25">
      <c r="A760" s="219"/>
      <c r="B760" s="219"/>
      <c r="C760" s="220"/>
      <c r="D760" s="220"/>
      <c r="E760" s="220"/>
      <c r="F760" s="220"/>
      <c r="G760" s="220"/>
      <c r="H760" s="220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</row>
    <row r="761" spans="1:29" ht="15.75" customHeight="1" x14ac:dyDescent="0.25">
      <c r="A761" s="219"/>
      <c r="B761" s="219"/>
      <c r="C761" s="220"/>
      <c r="D761" s="220"/>
      <c r="E761" s="220"/>
      <c r="F761" s="220"/>
      <c r="G761" s="220"/>
      <c r="H761" s="220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  <c r="AC761" s="219"/>
    </row>
    <row r="762" spans="1:29" ht="15.75" customHeight="1" x14ac:dyDescent="0.25">
      <c r="A762" s="219"/>
      <c r="B762" s="219"/>
      <c r="C762" s="220"/>
      <c r="D762" s="220"/>
      <c r="E762" s="220"/>
      <c r="F762" s="220"/>
      <c r="G762" s="220"/>
      <c r="H762" s="220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</row>
    <row r="763" spans="1:29" ht="15.75" customHeight="1" x14ac:dyDescent="0.25">
      <c r="A763" s="219"/>
      <c r="B763" s="219"/>
      <c r="C763" s="220"/>
      <c r="D763" s="220"/>
      <c r="E763" s="220"/>
      <c r="F763" s="220"/>
      <c r="G763" s="220"/>
      <c r="H763" s="220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  <c r="AC763" s="219"/>
    </row>
    <row r="764" spans="1:29" ht="15.75" customHeight="1" x14ac:dyDescent="0.25">
      <c r="A764" s="219"/>
      <c r="B764" s="219"/>
      <c r="C764" s="220"/>
      <c r="D764" s="220"/>
      <c r="E764" s="220"/>
      <c r="F764" s="220"/>
      <c r="G764" s="220"/>
      <c r="H764" s="220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  <c r="AC764" s="219"/>
    </row>
    <row r="765" spans="1:29" ht="15.75" customHeight="1" x14ac:dyDescent="0.25">
      <c r="A765" s="219"/>
      <c r="B765" s="219"/>
      <c r="C765" s="220"/>
      <c r="D765" s="220"/>
      <c r="E765" s="220"/>
      <c r="F765" s="220"/>
      <c r="G765" s="220"/>
      <c r="H765" s="220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</row>
    <row r="766" spans="1:29" ht="15.75" customHeight="1" x14ac:dyDescent="0.25">
      <c r="A766" s="219"/>
      <c r="B766" s="219"/>
      <c r="C766" s="220"/>
      <c r="D766" s="220"/>
      <c r="E766" s="220"/>
      <c r="F766" s="220"/>
      <c r="G766" s="220"/>
      <c r="H766" s="220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  <c r="AC766" s="219"/>
    </row>
    <row r="767" spans="1:29" ht="15.75" customHeight="1" x14ac:dyDescent="0.25">
      <c r="A767" s="219"/>
      <c r="B767" s="219"/>
      <c r="C767" s="220"/>
      <c r="D767" s="220"/>
      <c r="E767" s="220"/>
      <c r="F767" s="220"/>
      <c r="G767" s="220"/>
      <c r="H767" s="220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  <c r="AC767" s="219"/>
    </row>
    <row r="768" spans="1:29" ht="15.75" customHeight="1" x14ac:dyDescent="0.25">
      <c r="A768" s="219"/>
      <c r="B768" s="219"/>
      <c r="C768" s="220"/>
      <c r="D768" s="220"/>
      <c r="E768" s="220"/>
      <c r="F768" s="220"/>
      <c r="G768" s="220"/>
      <c r="H768" s="220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  <c r="AC768" s="219"/>
    </row>
    <row r="769" spans="1:29" ht="15.75" customHeight="1" x14ac:dyDescent="0.25">
      <c r="A769" s="219"/>
      <c r="B769" s="219"/>
      <c r="C769" s="220"/>
      <c r="D769" s="220"/>
      <c r="E769" s="220"/>
      <c r="F769" s="220"/>
      <c r="G769" s="220"/>
      <c r="H769" s="220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  <c r="AC769" s="219"/>
    </row>
    <row r="770" spans="1:29" ht="15.75" customHeight="1" x14ac:dyDescent="0.25">
      <c r="A770" s="219"/>
      <c r="B770" s="219"/>
      <c r="C770" s="220"/>
      <c r="D770" s="220"/>
      <c r="E770" s="220"/>
      <c r="F770" s="220"/>
      <c r="G770" s="220"/>
      <c r="H770" s="220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  <c r="AC770" s="219"/>
    </row>
    <row r="771" spans="1:29" ht="15.75" customHeight="1" x14ac:dyDescent="0.25">
      <c r="A771" s="219"/>
      <c r="B771" s="219"/>
      <c r="C771" s="220"/>
      <c r="D771" s="220"/>
      <c r="E771" s="220"/>
      <c r="F771" s="220"/>
      <c r="G771" s="220"/>
      <c r="H771" s="220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  <c r="AC771" s="219"/>
    </row>
    <row r="772" spans="1:29" ht="15.75" customHeight="1" x14ac:dyDescent="0.25">
      <c r="A772" s="219"/>
      <c r="B772" s="219"/>
      <c r="C772" s="220"/>
      <c r="D772" s="220"/>
      <c r="E772" s="220"/>
      <c r="F772" s="220"/>
      <c r="G772" s="220"/>
      <c r="H772" s="220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  <c r="AC772" s="219"/>
    </row>
    <row r="773" spans="1:29" ht="15.75" customHeight="1" x14ac:dyDescent="0.25">
      <c r="A773" s="219"/>
      <c r="B773" s="219"/>
      <c r="C773" s="220"/>
      <c r="D773" s="220"/>
      <c r="E773" s="220"/>
      <c r="F773" s="220"/>
      <c r="G773" s="220"/>
      <c r="H773" s="220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  <c r="AC773" s="219"/>
    </row>
    <row r="774" spans="1:29" ht="15.75" customHeight="1" x14ac:dyDescent="0.25">
      <c r="A774" s="219"/>
      <c r="B774" s="219"/>
      <c r="C774" s="220"/>
      <c r="D774" s="220"/>
      <c r="E774" s="220"/>
      <c r="F774" s="220"/>
      <c r="G774" s="220"/>
      <c r="H774" s="220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  <c r="AB774" s="219"/>
      <c r="AC774" s="219"/>
    </row>
    <row r="775" spans="1:29" ht="15.75" customHeight="1" x14ac:dyDescent="0.25">
      <c r="A775" s="219"/>
      <c r="B775" s="219"/>
      <c r="C775" s="220"/>
      <c r="D775" s="220"/>
      <c r="E775" s="220"/>
      <c r="F775" s="220"/>
      <c r="G775" s="220"/>
      <c r="H775" s="220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  <c r="AC775" s="219"/>
    </row>
    <row r="776" spans="1:29" ht="15.75" customHeight="1" x14ac:dyDescent="0.25">
      <c r="A776" s="219"/>
      <c r="B776" s="219"/>
      <c r="C776" s="220"/>
      <c r="D776" s="220"/>
      <c r="E776" s="220"/>
      <c r="F776" s="220"/>
      <c r="G776" s="220"/>
      <c r="H776" s="220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  <c r="AB776" s="219"/>
      <c r="AC776" s="219"/>
    </row>
    <row r="777" spans="1:29" ht="15.75" customHeight="1" x14ac:dyDescent="0.25">
      <c r="A777" s="219"/>
      <c r="B777" s="219"/>
      <c r="C777" s="220"/>
      <c r="D777" s="220"/>
      <c r="E777" s="220"/>
      <c r="F777" s="220"/>
      <c r="G777" s="220"/>
      <c r="H777" s="220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  <c r="AC777" s="219"/>
    </row>
    <row r="778" spans="1:29" ht="15.75" customHeight="1" x14ac:dyDescent="0.25">
      <c r="A778" s="219"/>
      <c r="B778" s="219"/>
      <c r="C778" s="220"/>
      <c r="D778" s="220"/>
      <c r="E778" s="220"/>
      <c r="F778" s="220"/>
      <c r="G778" s="220"/>
      <c r="H778" s="220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  <c r="AB778" s="219"/>
      <c r="AC778" s="219"/>
    </row>
    <row r="779" spans="1:29" ht="15.75" customHeight="1" x14ac:dyDescent="0.25">
      <c r="A779" s="219"/>
      <c r="B779" s="219"/>
      <c r="C779" s="220"/>
      <c r="D779" s="220"/>
      <c r="E779" s="220"/>
      <c r="F779" s="220"/>
      <c r="G779" s="220"/>
      <c r="H779" s="220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  <c r="AC779" s="219"/>
    </row>
    <row r="780" spans="1:29" ht="15.75" customHeight="1" x14ac:dyDescent="0.25">
      <c r="A780" s="219"/>
      <c r="B780" s="219"/>
      <c r="C780" s="220"/>
      <c r="D780" s="220"/>
      <c r="E780" s="220"/>
      <c r="F780" s="220"/>
      <c r="G780" s="220"/>
      <c r="H780" s="220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  <c r="AB780" s="219"/>
      <c r="AC780" s="219"/>
    </row>
    <row r="781" spans="1:29" ht="15.75" customHeight="1" x14ac:dyDescent="0.25">
      <c r="A781" s="219"/>
      <c r="B781" s="219"/>
      <c r="C781" s="220"/>
      <c r="D781" s="220"/>
      <c r="E781" s="220"/>
      <c r="F781" s="220"/>
      <c r="G781" s="220"/>
      <c r="H781" s="220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  <c r="AC781" s="219"/>
    </row>
    <row r="782" spans="1:29" ht="15.75" customHeight="1" x14ac:dyDescent="0.25">
      <c r="A782" s="219"/>
      <c r="B782" s="219"/>
      <c r="C782" s="220"/>
      <c r="D782" s="220"/>
      <c r="E782" s="220"/>
      <c r="F782" s="220"/>
      <c r="G782" s="220"/>
      <c r="H782" s="220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  <c r="AB782" s="219"/>
      <c r="AC782" s="219"/>
    </row>
    <row r="783" spans="1:29" ht="15.75" customHeight="1" x14ac:dyDescent="0.25">
      <c r="A783" s="219"/>
      <c r="B783" s="219"/>
      <c r="C783" s="220"/>
      <c r="D783" s="220"/>
      <c r="E783" s="220"/>
      <c r="F783" s="220"/>
      <c r="G783" s="220"/>
      <c r="H783" s="220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  <c r="AC783" s="219"/>
    </row>
    <row r="784" spans="1:29" ht="15.75" customHeight="1" x14ac:dyDescent="0.25">
      <c r="A784" s="219"/>
      <c r="B784" s="219"/>
      <c r="C784" s="220"/>
      <c r="D784" s="220"/>
      <c r="E784" s="220"/>
      <c r="F784" s="220"/>
      <c r="G784" s="220"/>
      <c r="H784" s="220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  <c r="AB784" s="219"/>
      <c r="AC784" s="219"/>
    </row>
    <row r="785" spans="1:29" ht="15.75" customHeight="1" x14ac:dyDescent="0.25">
      <c r="A785" s="219"/>
      <c r="B785" s="219"/>
      <c r="C785" s="220"/>
      <c r="D785" s="220"/>
      <c r="E785" s="220"/>
      <c r="F785" s="220"/>
      <c r="G785" s="220"/>
      <c r="H785" s="220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  <c r="AB785" s="219"/>
      <c r="AC785" s="219"/>
    </row>
    <row r="786" spans="1:29" ht="15.75" customHeight="1" x14ac:dyDescent="0.25">
      <c r="A786" s="219"/>
      <c r="B786" s="219"/>
      <c r="C786" s="220"/>
      <c r="D786" s="220"/>
      <c r="E786" s="220"/>
      <c r="F786" s="220"/>
      <c r="G786" s="220"/>
      <c r="H786" s="220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  <c r="AB786" s="219"/>
      <c r="AC786" s="219"/>
    </row>
    <row r="787" spans="1:29" ht="15.75" customHeight="1" x14ac:dyDescent="0.25">
      <c r="A787" s="219"/>
      <c r="B787" s="219"/>
      <c r="C787" s="220"/>
      <c r="D787" s="220"/>
      <c r="E787" s="220"/>
      <c r="F787" s="220"/>
      <c r="G787" s="220"/>
      <c r="H787" s="220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  <c r="AB787" s="219"/>
      <c r="AC787" s="219"/>
    </row>
    <row r="788" spans="1:29" ht="15.75" customHeight="1" x14ac:dyDescent="0.25">
      <c r="A788" s="219"/>
      <c r="B788" s="219"/>
      <c r="C788" s="220"/>
      <c r="D788" s="220"/>
      <c r="E788" s="220"/>
      <c r="F788" s="220"/>
      <c r="G788" s="220"/>
      <c r="H788" s="220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  <c r="AB788" s="219"/>
      <c r="AC788" s="219"/>
    </row>
    <row r="789" spans="1:29" ht="15.75" customHeight="1" x14ac:dyDescent="0.25">
      <c r="A789" s="219"/>
      <c r="B789" s="219"/>
      <c r="C789" s="220"/>
      <c r="D789" s="220"/>
      <c r="E789" s="220"/>
      <c r="F789" s="220"/>
      <c r="G789" s="220"/>
      <c r="H789" s="220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  <c r="AB789" s="219"/>
      <c r="AC789" s="219"/>
    </row>
    <row r="790" spans="1:29" ht="15.75" customHeight="1" x14ac:dyDescent="0.25">
      <c r="A790" s="219"/>
      <c r="B790" s="219"/>
      <c r="C790" s="220"/>
      <c r="D790" s="220"/>
      <c r="E790" s="220"/>
      <c r="F790" s="220"/>
      <c r="G790" s="220"/>
      <c r="H790" s="220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  <c r="AB790" s="219"/>
      <c r="AC790" s="219"/>
    </row>
    <row r="791" spans="1:29" ht="15.75" customHeight="1" x14ac:dyDescent="0.25">
      <c r="A791" s="219"/>
      <c r="B791" s="219"/>
      <c r="C791" s="220"/>
      <c r="D791" s="220"/>
      <c r="E791" s="220"/>
      <c r="F791" s="220"/>
      <c r="G791" s="220"/>
      <c r="H791" s="220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  <c r="AC791" s="219"/>
    </row>
    <row r="792" spans="1:29" ht="15.75" customHeight="1" x14ac:dyDescent="0.25">
      <c r="A792" s="219"/>
      <c r="B792" s="219"/>
      <c r="C792" s="220"/>
      <c r="D792" s="220"/>
      <c r="E792" s="220"/>
      <c r="F792" s="220"/>
      <c r="G792" s="220"/>
      <c r="H792" s="220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  <c r="AB792" s="219"/>
      <c r="AC792" s="219"/>
    </row>
    <row r="793" spans="1:29" ht="15.75" customHeight="1" x14ac:dyDescent="0.25">
      <c r="A793" s="219"/>
      <c r="B793" s="219"/>
      <c r="C793" s="220"/>
      <c r="D793" s="220"/>
      <c r="E793" s="220"/>
      <c r="F793" s="220"/>
      <c r="G793" s="220"/>
      <c r="H793" s="220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  <c r="AB793" s="219"/>
      <c r="AC793" s="219"/>
    </row>
    <row r="794" spans="1:29" ht="15.75" customHeight="1" x14ac:dyDescent="0.25">
      <c r="A794" s="219"/>
      <c r="B794" s="219"/>
      <c r="C794" s="220"/>
      <c r="D794" s="220"/>
      <c r="E794" s="220"/>
      <c r="F794" s="220"/>
      <c r="G794" s="220"/>
      <c r="H794" s="220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  <c r="AC794" s="219"/>
    </row>
    <row r="795" spans="1:29" ht="15.75" customHeight="1" x14ac:dyDescent="0.25">
      <c r="A795" s="219"/>
      <c r="B795" s="219"/>
      <c r="C795" s="220"/>
      <c r="D795" s="220"/>
      <c r="E795" s="220"/>
      <c r="F795" s="220"/>
      <c r="G795" s="220"/>
      <c r="H795" s="220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  <c r="AB795" s="219"/>
      <c r="AC795" s="219"/>
    </row>
    <row r="796" spans="1:29" ht="15.75" customHeight="1" x14ac:dyDescent="0.25">
      <c r="A796" s="219"/>
      <c r="B796" s="219"/>
      <c r="C796" s="220"/>
      <c r="D796" s="220"/>
      <c r="E796" s="220"/>
      <c r="F796" s="220"/>
      <c r="G796" s="220"/>
      <c r="H796" s="220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  <c r="AC796" s="219"/>
    </row>
    <row r="797" spans="1:29" ht="15.75" customHeight="1" x14ac:dyDescent="0.25">
      <c r="A797" s="219"/>
      <c r="B797" s="219"/>
      <c r="C797" s="220"/>
      <c r="D797" s="220"/>
      <c r="E797" s="220"/>
      <c r="F797" s="220"/>
      <c r="G797" s="220"/>
      <c r="H797" s="220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  <c r="AC797" s="219"/>
    </row>
    <row r="798" spans="1:29" ht="15.75" customHeight="1" x14ac:dyDescent="0.25">
      <c r="A798" s="219"/>
      <c r="B798" s="219"/>
      <c r="C798" s="220"/>
      <c r="D798" s="220"/>
      <c r="E798" s="220"/>
      <c r="F798" s="220"/>
      <c r="G798" s="220"/>
      <c r="H798" s="220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  <c r="AC798" s="219"/>
    </row>
    <row r="799" spans="1:29" ht="15.75" customHeight="1" x14ac:dyDescent="0.25">
      <c r="A799" s="219"/>
      <c r="B799" s="219"/>
      <c r="C799" s="220"/>
      <c r="D799" s="220"/>
      <c r="E799" s="220"/>
      <c r="F799" s="220"/>
      <c r="G799" s="220"/>
      <c r="H799" s="220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  <c r="AC799" s="219"/>
    </row>
    <row r="800" spans="1:29" ht="15.75" customHeight="1" x14ac:dyDescent="0.25">
      <c r="A800" s="219"/>
      <c r="B800" s="219"/>
      <c r="C800" s="220"/>
      <c r="D800" s="220"/>
      <c r="E800" s="220"/>
      <c r="F800" s="220"/>
      <c r="G800" s="220"/>
      <c r="H800" s="220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  <c r="AC800" s="219"/>
    </row>
    <row r="801" spans="1:29" ht="15.75" customHeight="1" x14ac:dyDescent="0.25">
      <c r="A801" s="219"/>
      <c r="B801" s="219"/>
      <c r="C801" s="220"/>
      <c r="D801" s="220"/>
      <c r="E801" s="220"/>
      <c r="F801" s="220"/>
      <c r="G801" s="220"/>
      <c r="H801" s="220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  <c r="AC801" s="219"/>
    </row>
    <row r="802" spans="1:29" ht="15.75" customHeight="1" x14ac:dyDescent="0.25">
      <c r="A802" s="219"/>
      <c r="B802" s="219"/>
      <c r="C802" s="220"/>
      <c r="D802" s="220"/>
      <c r="E802" s="220"/>
      <c r="F802" s="220"/>
      <c r="G802" s="220"/>
      <c r="H802" s="220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  <c r="AC802" s="219"/>
    </row>
    <row r="803" spans="1:29" ht="15.75" customHeight="1" x14ac:dyDescent="0.25">
      <c r="A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  <c r="AC803" s="219"/>
    </row>
    <row r="804" spans="1:29" ht="15.75" customHeight="1" x14ac:dyDescent="0.25">
      <c r="A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  <c r="AC804" s="219"/>
    </row>
  </sheetData>
  <autoFilter ref="B15:I149" xr:uid="{00000000-0009-0000-0000-000007000000}">
    <filterColumn colId="3" showButton="0"/>
    <filterColumn colId="4" showButton="0"/>
    <filterColumn colId="5" showButton="0"/>
    <filterColumn colId="6" showButton="0"/>
  </autoFilter>
  <mergeCells count="139">
    <mergeCell ref="E34:I34"/>
    <mergeCell ref="E35:I35"/>
    <mergeCell ref="E36:I36"/>
    <mergeCell ref="E43:I43"/>
    <mergeCell ref="E44:I44"/>
    <mergeCell ref="E45:I45"/>
    <mergeCell ref="E46:I46"/>
    <mergeCell ref="E47:I47"/>
    <mergeCell ref="E48:I48"/>
    <mergeCell ref="E37:I37"/>
    <mergeCell ref="E38:I38"/>
    <mergeCell ref="E39:I39"/>
    <mergeCell ref="B2:I6"/>
    <mergeCell ref="B12:F13"/>
    <mergeCell ref="E15:I15"/>
    <mergeCell ref="E16:I16"/>
    <mergeCell ref="E17:I17"/>
    <mergeCell ref="E18:I18"/>
    <mergeCell ref="E31:I31"/>
    <mergeCell ref="E32:I32"/>
    <mergeCell ref="E33:I33"/>
    <mergeCell ref="E25:I25"/>
    <mergeCell ref="E26:I26"/>
    <mergeCell ref="E27:I27"/>
    <mergeCell ref="E28:I28"/>
    <mergeCell ref="E29:I29"/>
    <mergeCell ref="E30:I30"/>
    <mergeCell ref="E19:I19"/>
    <mergeCell ref="E20:I20"/>
    <mergeCell ref="E21:I21"/>
    <mergeCell ref="E22:I22"/>
    <mergeCell ref="E23:I23"/>
    <mergeCell ref="E24:I24"/>
    <mergeCell ref="E61:I61"/>
    <mergeCell ref="E62:I62"/>
    <mergeCell ref="E63:I63"/>
    <mergeCell ref="E64:I64"/>
    <mergeCell ref="E65:I65"/>
    <mergeCell ref="E66:I66"/>
    <mergeCell ref="E40:I40"/>
    <mergeCell ref="E41:I41"/>
    <mergeCell ref="E42:I42"/>
    <mergeCell ref="E55:I55"/>
    <mergeCell ref="E56:I56"/>
    <mergeCell ref="E57:I57"/>
    <mergeCell ref="E58:I58"/>
    <mergeCell ref="E59:I59"/>
    <mergeCell ref="E60:I60"/>
    <mergeCell ref="E49:I49"/>
    <mergeCell ref="E50:I50"/>
    <mergeCell ref="E51:I51"/>
    <mergeCell ref="E52:I52"/>
    <mergeCell ref="E53:I53"/>
    <mergeCell ref="E54:I54"/>
    <mergeCell ref="E73:I73"/>
    <mergeCell ref="E74:I74"/>
    <mergeCell ref="E75:I75"/>
    <mergeCell ref="E76:I76"/>
    <mergeCell ref="E77:I77"/>
    <mergeCell ref="E78:I78"/>
    <mergeCell ref="E67:I67"/>
    <mergeCell ref="E68:I68"/>
    <mergeCell ref="E69:I69"/>
    <mergeCell ref="E70:I70"/>
    <mergeCell ref="E71:I71"/>
    <mergeCell ref="E72:I72"/>
    <mergeCell ref="E85:I85"/>
    <mergeCell ref="E86:I86"/>
    <mergeCell ref="E87:I87"/>
    <mergeCell ref="E88:I88"/>
    <mergeCell ref="E89:I89"/>
    <mergeCell ref="E90:I90"/>
    <mergeCell ref="E79:I79"/>
    <mergeCell ref="E80:I80"/>
    <mergeCell ref="E81:I81"/>
    <mergeCell ref="E82:I82"/>
    <mergeCell ref="E83:I83"/>
    <mergeCell ref="E84:I84"/>
    <mergeCell ref="E97:I97"/>
    <mergeCell ref="E98:I98"/>
    <mergeCell ref="E99:I99"/>
    <mergeCell ref="E100:I100"/>
    <mergeCell ref="E101:I101"/>
    <mergeCell ref="E102:I102"/>
    <mergeCell ref="E91:I91"/>
    <mergeCell ref="E92:I92"/>
    <mergeCell ref="E93:I93"/>
    <mergeCell ref="E94:I94"/>
    <mergeCell ref="E95:I95"/>
    <mergeCell ref="E96:I96"/>
    <mergeCell ref="E109:I109"/>
    <mergeCell ref="E110:I110"/>
    <mergeCell ref="E111:I111"/>
    <mergeCell ref="E112:I112"/>
    <mergeCell ref="E113:I113"/>
    <mergeCell ref="E114:I114"/>
    <mergeCell ref="E103:I103"/>
    <mergeCell ref="E104:I104"/>
    <mergeCell ref="E105:I105"/>
    <mergeCell ref="E106:I106"/>
    <mergeCell ref="E107:I107"/>
    <mergeCell ref="E108:I108"/>
    <mergeCell ref="E121:I121"/>
    <mergeCell ref="E122:I122"/>
    <mergeCell ref="E123:I123"/>
    <mergeCell ref="E124:I124"/>
    <mergeCell ref="E125:I125"/>
    <mergeCell ref="E126:I126"/>
    <mergeCell ref="E115:I115"/>
    <mergeCell ref="E116:I116"/>
    <mergeCell ref="E117:I117"/>
    <mergeCell ref="E118:I118"/>
    <mergeCell ref="E119:I119"/>
    <mergeCell ref="E120:I120"/>
    <mergeCell ref="E133:I133"/>
    <mergeCell ref="E134:I134"/>
    <mergeCell ref="E135:I135"/>
    <mergeCell ref="E136:I136"/>
    <mergeCell ref="E137:I137"/>
    <mergeCell ref="E138:I138"/>
    <mergeCell ref="E127:I127"/>
    <mergeCell ref="E128:I128"/>
    <mergeCell ref="E129:I129"/>
    <mergeCell ref="E130:I130"/>
    <mergeCell ref="E131:I131"/>
    <mergeCell ref="E132:I132"/>
    <mergeCell ref="E150:I150"/>
    <mergeCell ref="E151:I151"/>
    <mergeCell ref="E145:I145"/>
    <mergeCell ref="E146:I146"/>
    <mergeCell ref="E147:I147"/>
    <mergeCell ref="E148:I148"/>
    <mergeCell ref="E149:I149"/>
    <mergeCell ref="E139:I139"/>
    <mergeCell ref="E140:I140"/>
    <mergeCell ref="E141:I141"/>
    <mergeCell ref="E142:I142"/>
    <mergeCell ref="E143:I143"/>
    <mergeCell ref="E144:I144"/>
  </mergeCells>
  <phoneticPr fontId="32" type="noConversion"/>
  <printOptions horizontalCentered="1"/>
  <pageMargins left="0.7" right="0.7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52</vt:i4>
      </vt:variant>
    </vt:vector>
  </HeadingPairs>
  <TitlesOfParts>
    <vt:vector size="60" baseType="lpstr">
      <vt:lpstr>DADOS GERAIS</vt:lpstr>
      <vt:lpstr>CRONOGRAMA</vt:lpstr>
      <vt:lpstr>RESUMO</vt:lpstr>
      <vt:lpstr>ORC. SINTÉTICO</vt:lpstr>
      <vt:lpstr>CPUS</vt:lpstr>
      <vt:lpstr>BDI </vt:lpstr>
      <vt:lpstr>ENCARGOS SOCIAIS</vt:lpstr>
      <vt:lpstr>JUSTIFICATIVAS CPUS</vt:lpstr>
      <vt:lpstr>CPUS!Area_de_impressao</vt:lpstr>
      <vt:lpstr>CRONOGRAMA!Area_de_impressao</vt:lpstr>
      <vt:lpstr>'DADOS GERAIS'!Area_de_impressao</vt:lpstr>
      <vt:lpstr>'JUSTIFICATIVAS CPUS'!Area_de_impressao</vt:lpstr>
      <vt:lpstr>'ORC. SINTÉTICO'!Area_de_impressao</vt:lpstr>
      <vt:lpstr>RESUMO!Area_de_impressao</vt:lpstr>
      <vt:lpstr>CPUS!Titulos_de_impressao</vt:lpstr>
      <vt:lpstr>'JUSTIFICATIVAS CPUS'!Titulos_de_impressao</vt:lpstr>
      <vt:lpstr>'BDI '!Z_0306F0C2_70DB_4729_BB6A_5299B1A5AEA0_.wvu.PrintArea</vt:lpstr>
      <vt:lpstr>'ENCARGOS SOCIAIS'!Z_0306F0C2_70DB_4729_BB6A_5299B1A5AEA0_.wvu.PrintArea</vt:lpstr>
      <vt:lpstr>'BDI '!Z_12376024_9872_4870_B42C_DF0FD31EC62E_.wvu.PrintArea</vt:lpstr>
      <vt:lpstr>'ENCARGOS SOCIAIS'!Z_12376024_9872_4870_B42C_DF0FD31EC62E_.wvu.PrintArea</vt:lpstr>
      <vt:lpstr>CPUS!Z_12538664_79C6_4AAD_BD81_5363A5F496D7_.wvu.PrintArea</vt:lpstr>
      <vt:lpstr>CRONOGRAMA!Z_12538664_79C6_4AAD_BD81_5363A5F496D7_.wvu.PrintArea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CPUS!Z_12538664_79C6_4AAD_BD81_5363A5F496D7_.wvu.Rows</vt:lpstr>
      <vt:lpstr>'ORC. SINTÉTICO'!Z_12538664_79C6_4AAD_BD81_5363A5F496D7_.wvu.Rows</vt:lpstr>
      <vt:lpstr>CPUS!Z_18D9C5C8_6EC0_4507_ACF1_BEE4D54D4AE8_.wvu.PrintArea</vt:lpstr>
      <vt:lpstr>CRONOGRAMA!Z_18D9C5C8_6EC0_4507_ACF1_BEE4D54D4AE8_.wvu.PrintArea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CPUS!Z_18D9C5C8_6EC0_4507_ACF1_BEE4D54D4AE8_.wvu.Rows</vt:lpstr>
      <vt:lpstr>'ORC. SINTÉTICO'!Z_18D9C5C8_6EC0_4507_ACF1_BEE4D54D4AE8_.wvu.Rows</vt:lpstr>
      <vt:lpstr>'JUSTIFICATIVAS CPUS'!Z_2675BA43_8563_4FE8_9385_CEC837618B0A_.wvu.PrintArea</vt:lpstr>
      <vt:lpstr>'JUSTIFICATIVAS CPUS'!Z_28B41BAB_DC76_480E_A1E5_0680F2E379B7_.wvu.PrintArea</vt:lpstr>
      <vt:lpstr>'JUSTIFICATIVAS CPUS'!Z_2C035CC8_3055_44F7_AAA9_AD9C9EF12435_.wvu.PrintArea</vt:lpstr>
      <vt:lpstr>'BDI '!Z_31669B58_6052_4B28_A2A6_B4D646275034_.wvu.PrintArea</vt:lpstr>
      <vt:lpstr>'ENCARGOS SOCIAIS'!Z_31669B58_6052_4B28_A2A6_B4D646275034_.wvu.PrintArea</vt:lpstr>
      <vt:lpstr>'JUSTIFICATIVAS CPUS'!Z_53D497E1_E826_4F8A_992E_431F101CA300_.wvu.PrintArea</vt:lpstr>
      <vt:lpstr>'BDI '!Z_5C936B0E_B1B0_4680_9496_257339E19331_.wvu.PrintArea</vt:lpstr>
      <vt:lpstr>'ENCARGOS SOCIAIS'!Z_5C936B0E_B1B0_4680_9496_257339E19331_.wvu.PrintArea</vt:lpstr>
      <vt:lpstr>'BDI '!Z_5EB5A1F5_D41C_4922_9EB6_0F91F671DD29_.wvu.PrintArea</vt:lpstr>
      <vt:lpstr>'ENCARGOS SOCIAIS'!Z_5EB5A1F5_D41C_4922_9EB6_0F91F671DD29_.wvu.PrintArea</vt:lpstr>
      <vt:lpstr>'JUSTIFICATIVAS CPUS'!Z_6C4A5780_A529_48FA_99BA_79BD868CD359_.wvu.PrintArea</vt:lpstr>
      <vt:lpstr>'BDI '!Z_6CEAEE79_3031_4A07_9C1B_BEA3A33B6E8E_.wvu.PrintArea</vt:lpstr>
      <vt:lpstr>'ENCARGOS SOCIAIS'!Z_6CEAEE79_3031_4A07_9C1B_BEA3A33B6E8E_.wvu.PrintArea</vt:lpstr>
      <vt:lpstr>'JUSTIFICATIVAS CPUS'!Z_7FF15CC8_DB84_4698_8C98_3A52BD743E2D_.wvu.PrintArea</vt:lpstr>
      <vt:lpstr>'JUSTIFICATIVAS CPUS'!Z_8AD65702_4E2C_47D8_8007_38AB6DC80A2F_.wvu.PrintArea</vt:lpstr>
      <vt:lpstr>'JUSTIFICATIVAS CPUS'!Z_8D21F177_5E6A_4C44_9891_68BF06A93C62_.wvu.PrintArea</vt:lpstr>
      <vt:lpstr>'JUSTIFICATIVAS CPUS'!Z_A07C36CD_65E3_4A21_B956_D1766C5EB84D_.wvu.PrintArea</vt:lpstr>
      <vt:lpstr>'JUSTIFICATIVAS CPUS'!Z_A951D8EB_0DF5_4872_832B_26DF5B5ABADD_.wvu.PrintArea</vt:lpstr>
      <vt:lpstr>CPUS!Z_CA485D5E_5C09_4636_B7A6_10EC2B405CCB_.wvu.PrintArea</vt:lpstr>
      <vt:lpstr>CRONOGRAMA!Z_CA485D5E_5C09_4636_B7A6_10EC2B405CCB_.wvu.PrintArea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CPUS!Z_CA485D5E_5C09_4636_B7A6_10EC2B405CCB_.wvu.Rows</vt:lpstr>
      <vt:lpstr>'ORC. SINTÉTICO'!Z_CA485D5E_5C09_4636_B7A6_10EC2B405CCB_.wvu.Rows</vt:lpstr>
      <vt:lpstr>'JUSTIFICATIVAS CPUS'!Z_E00A2F2B_5FAE_482A_B5C1_08D9DD4D80BE_.wvu.PrintArea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Gerrad Ferreira</cp:lastModifiedBy>
  <cp:lastPrinted>2025-06-03T13:36:54Z</cp:lastPrinted>
  <dcterms:created xsi:type="dcterms:W3CDTF">2024-03-24T14:34:26Z</dcterms:created>
  <dcterms:modified xsi:type="dcterms:W3CDTF">2025-06-03T13:36:55Z</dcterms:modified>
</cp:coreProperties>
</file>