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codeName="ThisWorkbook"/>
  <xr:revisionPtr revIDLastSave="0" documentId="13_ncr:1_{A62E2E0D-D490-4F57-8475-27C75FA2F3F2}" xr6:coauthVersionLast="47" xr6:coauthVersionMax="47" xr10:uidLastSave="{00000000-0000-0000-0000-000000000000}"/>
  <bookViews>
    <workbookView xWindow="-108" yWindow="-108" windowWidth="23256" windowHeight="12576" tabRatio="915" xr2:uid="{00000000-000D-0000-FFFF-FFFF00000000}"/>
  </bookViews>
  <sheets>
    <sheet name="MG" sheetId="12" r:id="rId1"/>
    <sheet name="CRONO CAIXA" sheetId="15" r:id="rId2"/>
    <sheet name="BDI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BDI!$I$11:$I$132</definedName>
    <definedName name="a" localSheetId="1">#REF!</definedName>
    <definedName name="a">#REF!</definedName>
    <definedName name="ACOMPANHAMENTO" localSheetId="2" hidden="1">IF(VALUE([1]MENU!$O$4)=2,"BM","PLE")</definedName>
    <definedName name="ACOMPANHAMENTO" hidden="1">IF(VALUE([2]MENU!$O$4)=2,"BM","PLE")</definedName>
    <definedName name="and" localSheetId="1">#REF!</definedName>
    <definedName name="and">#REF!</definedName>
    <definedName name="_xlnm.Print_Area" localSheetId="2">BDI!$J$1:$S$53</definedName>
    <definedName name="_xlnm.Print_Area" localSheetId="1">'CRONO CAIXA'!$A$1:$AE$42</definedName>
    <definedName name="_xlnm.Print_Area" localSheetId="0">MG!$A$1:$J$560</definedName>
    <definedName name="AUTOEVENTO" localSheetId="2" hidden="1">[1]CÁLCULO!$A$12</definedName>
    <definedName name="AUTOEVENTO" hidden="1">[2]CÁLCULO!$A$12</definedName>
    <definedName name="AUX" localSheetId="1">#REF!</definedName>
    <definedName name="AUX">#REF!</definedName>
    <definedName name="Base">[3]Base!$C$4:$K$1374</definedName>
    <definedName name="BaseDados">[3]Base!$C$4:$E$1374</definedName>
    <definedName name="BDI" localSheetId="1">#REF!</definedName>
    <definedName name="BDI">#REF!</definedName>
    <definedName name="BDI.Filtro" localSheetId="2" hidden="1">BDI!$I$11:$I$132</definedName>
    <definedName name="BDI.Filtro" localSheetId="1" hidden="1">#REF!</definedName>
    <definedName name="BDI.Filtro" hidden="1">#REF!</definedName>
    <definedName name="BDI.Opcao" localSheetId="2" hidden="1">[1]DADOS!$F$18</definedName>
    <definedName name="BDI.Opcao" hidden="1">[2]DADOS!$F$18</definedName>
    <definedName name="BDI.TipoObra" localSheetId="2" hidden="1">BDI!$A$138:$A$146</definedName>
    <definedName name="BDI.TipoObra" localSheetId="1" hidden="1">#REF!</definedName>
    <definedName name="BDI.TipoObra" hidden="1">#REF!</definedName>
    <definedName name="BM.AFAcumulado" localSheetId="2" hidden="1">[1]BM!$R1</definedName>
    <definedName name="BM.AFAcumulado" hidden="1">[2]BM!$R1</definedName>
    <definedName name="BM.AFAnterior" localSheetId="2" hidden="1">[1]BM!$Q1</definedName>
    <definedName name="BM.AFAnterior" hidden="1">[2]BM!$Q1</definedName>
    <definedName name="BM.MaxMed" localSheetId="2" hidden="1">IF(BDI!RegimeExecucao="Global",1,[1]BM!$G1)</definedName>
    <definedName name="BM.MaxMed" localSheetId="1" hidden="1">IF('CRONO CAIXA'!RegimeExecucao="Global",1,[2]BM!$G1)</definedName>
    <definedName name="BM.MaxMed" hidden="1">IF(RegimeExecucao="Global",1,[2]BM!$G1)</definedName>
    <definedName name="BM.MEDAcumulado" localSheetId="2" hidden="1">IF(COUNTIF([1]BM!$AB$13:$AM$13,BDI!BM.medicao)&gt;0,SUM(OFFSET([1]BM!$AB1,0,0,1,MATCH(BDI!BM.medicao,[1]BM!$AB$13:$AM$13,0))),0)</definedName>
    <definedName name="BM.MEDAcumulado" localSheetId="1" hidden="1">IF(COUNTIF([2]BM!$AB$13:$AM$13,BM.medicao)&gt;0,SUM(OFFSET([2]BM!$AB1,0,0,1,MATCH(BM.medicao,[2]BM!$AB$13:$AM$13,0))),0)</definedName>
    <definedName name="BM.MEDAcumulado" hidden="1">IF(COUNTIF([2]BM!$AB$13:$AM$13,BM.medicao)&gt;0,SUM(OFFSET([2]BM!$AB1,0,0,1,MATCH(BM.medicao,[2]BM!$AB$13:$AM$13,0))),0)</definedName>
    <definedName name="BM.MEDAnterior" localSheetId="2" hidden="1">IF(COUNTIF([1]BM!$AB$13:$AM$13,BDI!BM.medicao-1)&gt;0,SUM(OFFSET([1]BM!$AB1,0,0,1,MATCH(BDI!BM.medicao-1,[1]BM!$AB$13:$AM$13,0))),0)</definedName>
    <definedName name="BM.MEDAnterior" localSheetId="1" hidden="1">IF(COUNTIF([2]BM!$AB$13:$AM$13,BM.medicao-1)&gt;0,SUM(OFFSET([2]BM!$AB1,0,0,1,MATCH(BM.medicao-1,[2]BM!$AB$13:$AM$13,0))),0)</definedName>
    <definedName name="BM.MEDAnterior" hidden="1">IF(COUNTIF([2]BM!$AB$13:$AM$13,BM.medicao-1)&gt;0,SUM(OFFSET([2]BM!$AB1,0,0,1,MATCH(BM.medicao-1,[2]BM!$AB$13:$AM$13,0))),0)</definedName>
    <definedName name="BM.medicao" localSheetId="2" hidden="1">OFFSET([1]BM!$O$7,1,0)</definedName>
    <definedName name="BM.medicao" hidden="1">OFFSET([2]BM!$O$7,1,0)</definedName>
    <definedName name="BM.MinMed" localSheetId="2" hidden="1">IF(BDI!RegimeExecucao="Global",-1,-[1]BM!$G1)</definedName>
    <definedName name="BM.MinMed" localSheetId="1" hidden="1">IF('CRONO CAIXA'!RegimeExecucao="Global",-1,-[2]BM!$G1)</definedName>
    <definedName name="BM.MinMed" hidden="1">IF(RegimeExecucao="Global",-1,-[2]BM!$G1)</definedName>
    <definedName name="CAIXA.Modo" localSheetId="2" hidden="1">[1]BM!$A$3</definedName>
    <definedName name="CAIXA.Modo" hidden="1">[2]BM!$A$3</definedName>
    <definedName name="CALC" localSheetId="1">#REF!</definedName>
    <definedName name="CALC">#REF!</definedName>
    <definedName name="CÁLCULO.NúmeroDeEventos" localSheetId="2" hidden="1">IF(BDI!AUTOEVENTO&lt;&gt;"manual",MAX([1]CÁLCULO!$M$15:$M$266),MAX(OFFSET([1]EVENTOS!$C$14:$C$65,1,0)))</definedName>
    <definedName name="CÁLCULO.NúmeroDeEventos" localSheetId="1" hidden="1">IF(AUTOEVENTO&lt;&gt;"manual",MAX([2]CÁLCULO!$M$15:$M$267),MAX(OFFSET([2]EVENTOS!$C$14:$C$65,1,0)))</definedName>
    <definedName name="CÁLCULO.NúmeroDeEventos" hidden="1">IF(AUTOEVENTO&lt;&gt;"manual",MAX([2]CÁLCULO!$M$15:$M$267),MAX(OFFSET([2]EVENTOS!$C$14:$C$65,1,0)))</definedName>
    <definedName name="CÁLCULO.NúmeroDeFrentes" localSheetId="2" hidden="1">COLUMN([1]CÁLCULO!$AA$15)-COLUMN([1]CÁLCULO!$Q$15)</definedName>
    <definedName name="CÁLCULO.NúmeroDeFrentes" hidden="1">COLUMN([2]CÁLCULO!$AA$15)-COLUMN([2]CÁLCULO!$Q$15)</definedName>
    <definedName name="CÁLCULO.TotalAdmLocal" localSheetId="2" hidden="1">IF(BDI!AUTOEVENTO="manual",SUMIF([1]CÁLCULO!$M$15:$M$266,1,[1]ORÇAMENTO!$X$15:$X$266),0)</definedName>
    <definedName name="CÁLCULO.TotalAdmLocal" localSheetId="1" hidden="1">IF(AUTOEVENTO="manual",SUMIF([2]CÁLCULO!$M$15:$M$267,1,[2]ORÇAMENTO!$X$15:$X$267),0)</definedName>
    <definedName name="CÁLCULO.TotalAdmLocal" hidden="1">IF(AUTOEVENTO="manual",SUMIF([2]CÁLCULO!$M$15:$M$267,1,[2]ORÇAMENTO!$X$15:$X$267),0)</definedName>
    <definedName name="car" localSheetId="1">#REF!</definedName>
    <definedName name="car">#REF!</definedName>
    <definedName name="CARNEIRO" localSheetId="1">#REF!</definedName>
    <definedName name="CARNEIRO">#REF!</definedName>
    <definedName name="Cliente" localSheetId="1">#REF!</definedName>
    <definedName name="Cliente">#REF!</definedName>
    <definedName name="codigo" localSheetId="1">#REF!</definedName>
    <definedName name="codigo">#REF!</definedName>
    <definedName name="CÓDIGO" localSheetId="1">#REF!</definedName>
    <definedName name="CÓDIGO">#REF!</definedName>
    <definedName name="CRONO.LinhasNecessarias" localSheetId="2" hidden="1">COUNTIF([1]QCI!$B$13:$B$24,"Manual")+COUNTIF([1]QCI!$B$13:$B$24,"SemiAuto")+COUNT(BDI!ORÇAMENTO.ListaCrono)</definedName>
    <definedName name="CRONO.LinhasNecessarias" localSheetId="1" hidden="1">COUNTIF([2]QCI!$B$13:$B$24,"Manual")+COUNTIF([2]QCI!$B$13:$B$24,"SemiAuto")+COUNT(ORÇAMENTO.ListaCrono)</definedName>
    <definedName name="CRONO.LinhasNecessarias" hidden="1">COUNTIF([2]QCI!$B$13:$B$24,"Manual")+COUNTIF([2]QCI!$B$13:$B$24,"SemiAuto")+COUNT(ORÇAMENTO.ListaCrono)</definedName>
    <definedName name="CRONO.MaxParc" localSheetId="2" hidden="1">[1]CRONO!$G1048576+[1]CRONO!A1</definedName>
    <definedName name="CRONO.MaxParc" hidden="1">[2]CRONO!$G65536+[2]CRONO!A1</definedName>
    <definedName name="CRONO.NivelExibicao" localSheetId="2" hidden="1">[1]CRONO!$G$10</definedName>
    <definedName name="CRONO.NivelExibicao" hidden="1">[2]CRONO!$G$10</definedName>
    <definedName name="cronobp">'[4]PLANILHA FONTE'!$B$1:$G$290</definedName>
    <definedName name="CRONOGRAMA_PERDE">[5]!PassaExtenso</definedName>
    <definedName name="CRONOPLE.ValorDoEvento" localSheetId="2" hidden="1">SUMIF([1]CÁLCULO!$M$15:$M$266,[1]CRONOPLE!$B1,OFFSET([1]CÁLCULO!$AA$15:$AA$266,0,[1]CRONOPLE!A$12))</definedName>
    <definedName name="CRONOPLE.ValorDoEvento" hidden="1">SUMIF([2]CÁLCULO!$M$15:$M$267,[2]CRONOPLE!$B1,OFFSET([2]CÁLCULO!$AA$15:$AA$267,0,[2]CRONOPLE!A$12))</definedName>
    <definedName name="CROQUISX" localSheetId="1">#REF!</definedName>
    <definedName name="CROQUISX">#REF!</definedName>
    <definedName name="DESONERACAO" localSheetId="2" hidden="1">IF(OR(BDI!Import.Desoneracao="DESONERADO",BDI!Import.Desoneracao="SIM"),"SIM","NÃO")</definedName>
    <definedName name="DESONERACAO" localSheetId="1" hidden="1">IF(OR(Import.Desoneracao="DESONERADO",Import.Desoneracao="SIM"),"SIM","NÃO")</definedName>
    <definedName name="DESONERACAO" hidden="1">IF(OR(Import.Desoneracao="DESONERADO",Import.Desoneracao="SIM"),"SIM","NÃO")</definedName>
    <definedName name="DIDO" localSheetId="1">#REF!</definedName>
    <definedName name="DIDO">#REF!</definedName>
    <definedName name="e" localSheetId="1">#REF!</definedName>
    <definedName name="e">#REF!</definedName>
    <definedName name="EVENTOS.Lista" localSheetId="2" hidden="1">[1]EVENTOS!$C$15:OFFSET([1]EVENTOS!$C$65,-1,0)</definedName>
    <definedName name="EVENTOS.Lista" hidden="1">[2]EVENTOS!$C$15:OFFSET([2]EVENTOS!$C$65,-1,0)</definedName>
    <definedName name="EVENTOS.ListaValidacao" localSheetId="2" hidden="1">[1]EVENTOS!$B$15:OFFSET([1]EVENTOS!$B$65,-1,0)</definedName>
    <definedName name="EVENTOS.ListaValidacao" hidden="1">[2]EVENTOS!$B$15:OFFSET([2]EVENTOS!$B$65,-1,0)</definedName>
    <definedName name="Excel_BuiltIn_Database" localSheetId="2" hidden="1">TEXT(BDI!Import.DataBase,"mm-aaaa")</definedName>
    <definedName name="Excel_BuiltIn_Database" localSheetId="1" hidden="1">TEXT(Import.DataBase,"mm-aaaa")</definedName>
    <definedName name="Excel_BuiltIn_Database" hidden="1">TEXT(Import.DataBase,"mm-aaaa")</definedName>
    <definedName name="Fornecedor" localSheetId="1">#REF!</definedName>
    <definedName name="Fornecedor">#REF!</definedName>
    <definedName name="Import.Apelido" localSheetId="2" hidden="1">[1]DADOS!$F$16</definedName>
    <definedName name="Import.Apelido" hidden="1">[2]DADOS!$F$16</definedName>
    <definedName name="Import.BDI.Det1" localSheetId="2" hidden="1">BDI!$S$21:$S$26</definedName>
    <definedName name="Import.BDI.Det1" localSheetId="1" hidden="1">#REF!</definedName>
    <definedName name="Import.BDI.Det1" hidden="1">#REF!</definedName>
    <definedName name="Import.BDI.Det2" localSheetId="2" hidden="1">BDI!$S$61:$S$66</definedName>
    <definedName name="Import.BDI.Det2" localSheetId="1" hidden="1">#REF!</definedName>
    <definedName name="Import.BDI.Det2" hidden="1">#REF!</definedName>
    <definedName name="Import.BDI.Det3" localSheetId="2" hidden="1">BDI!$S$101:$S$106</definedName>
    <definedName name="Import.BDI.Det3" localSheetId="1" hidden="1">#REF!</definedName>
    <definedName name="Import.BDI.Det3" hidden="1">#REF!</definedName>
    <definedName name="Import.BDI.ISS" localSheetId="2" hidden="1">BDI!$R$10:$S$11</definedName>
    <definedName name="Import.BDI.ISS" localSheetId="1" hidden="1">#REF!</definedName>
    <definedName name="Import.BDI.ISS" hidden="1">#REF!</definedName>
    <definedName name="Import.BDI.Obs1" localSheetId="2" hidden="1">BDI!$J$43</definedName>
    <definedName name="Import.BDI.Obs1" localSheetId="1" hidden="1">#REF!</definedName>
    <definedName name="Import.BDI.Obs1" hidden="1">#REF!</definedName>
    <definedName name="Import.BDI.Obs2" localSheetId="2" hidden="1">BDI!$J$83</definedName>
    <definedName name="Import.BDI.Obs2" localSheetId="1" hidden="1">#REF!</definedName>
    <definedName name="Import.BDI.Obs2" hidden="1">#REF!</definedName>
    <definedName name="Import.BDI.Obs3" localSheetId="2" hidden="1">BDI!$J$123</definedName>
    <definedName name="Import.BDI.Obs3" localSheetId="1" hidden="1">#REF!</definedName>
    <definedName name="Import.BDI.Obs3" hidden="1">#REF!</definedName>
    <definedName name="Import.BDI.Tipo1" localSheetId="2" hidden="1">BDI!$J$17</definedName>
    <definedName name="Import.BDI.Tipo1" localSheetId="1" hidden="1">#REF!</definedName>
    <definedName name="Import.BDI.Tipo1" hidden="1">#REF!</definedName>
    <definedName name="Import.BDI.Tipo2" localSheetId="2" hidden="1">BDI!$J$57</definedName>
    <definedName name="Import.BDI.Tipo2" localSheetId="1" hidden="1">#REF!</definedName>
    <definedName name="Import.BDI.Tipo2" hidden="1">#REF!</definedName>
    <definedName name="Import.BDI.Tipo3" localSheetId="2" hidden="1">BDI!$J$97</definedName>
    <definedName name="Import.BDI.Tipo3" localSheetId="1" hidden="1">#REF!</definedName>
    <definedName name="Import.BDI.Tipo3" hidden="1">#REF!</definedName>
    <definedName name="Import.BMAFAcumulado" localSheetId="2" hidden="1">OFFSET([1]BM!$R$15,1,0):OFFSET([1]BM!$R$266,-1,0)</definedName>
    <definedName name="Import.BMAFAcumulado" hidden="1">OFFSET([2]BM!$R$15,1,0):OFFSET([2]BM!$R$267,-1,0)</definedName>
    <definedName name="Import.CNPJ" localSheetId="2" hidden="1">[1]DADOS!$F$39</definedName>
    <definedName name="Import.CNPJ" hidden="1">[2]DADOS!$F$38</definedName>
    <definedName name="Import.Código" localSheetId="2" hidden="1">OFFSET([1]ORÇAMENTO!$Q$15,1,0):OFFSET([1]ORÇAMENTO!$Q$266,-1,0)</definedName>
    <definedName name="Import.Código" hidden="1">OFFSET([2]ORÇAMENTO!$Q$15,1,0):OFFSET([2]ORÇAMENTO!$Q$267,-1,0)</definedName>
    <definedName name="Import.Contrapartida" localSheetId="2" hidden="1">[1]DADOS!$F$10</definedName>
    <definedName name="Import.Contrapartida" hidden="1">[2]DADOS!$F$10</definedName>
    <definedName name="Import.CPMaxPerc" localSheetId="2" hidden="1">[1]DADOS!$F$13</definedName>
    <definedName name="Import.CPMaxPerc" hidden="1">[2]DADOS!$F$13</definedName>
    <definedName name="Import.CPMinAbsoluta" localSheetId="2" hidden="1">[1]DADOS!$F$12</definedName>
    <definedName name="Import.CPMinAbsoluta" hidden="1">[2]DADOS!$F$12</definedName>
    <definedName name="Import.CPMinPerc" localSheetId="2" hidden="1">[1]DADOS!$F$11</definedName>
    <definedName name="Import.CPMinPerc" hidden="1">[2]DADOS!$F$11</definedName>
    <definedName name="Import.CR" localSheetId="2" hidden="1">[1]DADOS!$F$7</definedName>
    <definedName name="Import.CR" hidden="1">[2]DADOS!$F$7</definedName>
    <definedName name="Import.CRONOPLE" localSheetId="2" hidden="1">OFFSET([1]CRONOPLE!$F$15,1,1):OFFSET([1]CRONOPLE!$AF$65,-1,-1)</definedName>
    <definedName name="Import.CRONOPLE" hidden="1">OFFSET([2]CRONOPLE!$F$15,1,1):OFFSET([2]CRONOPLE!$AF$65,-1,-1)</definedName>
    <definedName name="Import.CTEF" localSheetId="2" hidden="1">[1]DADOS!$F$37</definedName>
    <definedName name="Import.CTEF" hidden="1">[2]DADOS!$F$36</definedName>
    <definedName name="Import.CustoUnitário" localSheetId="2" hidden="1">OFFSET([1]ORÇAMENTO!$U$15,1,0):OFFSET([1]ORÇAMENTO!$U$266,-1,0)</definedName>
    <definedName name="Import.CustoUnitário" hidden="1">OFFSET([2]ORÇAMENTO!$U$15,1,0):OFFSET([2]ORÇAMENTO!$U$267,-1,0)</definedName>
    <definedName name="Import.DataBase" localSheetId="2" hidden="1">OFFSET([1]DADOS!$G$19,0,-1)</definedName>
    <definedName name="Import.DataBase" hidden="1">OFFSET([2]DADOS!$G$19,0,-1)</definedName>
    <definedName name="Import.DataBaseLicit" localSheetId="2" hidden="1">OFFSET([1]DADOS!$G$41,0,-1)</definedName>
    <definedName name="Import.DataBaseLicit" hidden="1">OFFSET([2]DADOS!$G$40,0,-1)</definedName>
    <definedName name="Import.DataInicioObra" localSheetId="2" hidden="1">[1]DADOS!$F$47</definedName>
    <definedName name="Import.DataInicioObra" hidden="1">[2]DADOS!$F$46</definedName>
    <definedName name="Import.DescLote" localSheetId="2" hidden="1">[1]DADOS!$F$17</definedName>
    <definedName name="Import.DescLote" hidden="1">[2]DADOS!$F$17</definedName>
    <definedName name="Import.Descrição" localSheetId="2" hidden="1">OFFSET([1]ORÇAMENTO!$R$15,1,0):OFFSET([1]ORÇAMENTO!$R$266,-1,0)</definedName>
    <definedName name="Import.Descrição" hidden="1">OFFSET([2]ORÇAMENTO!$R$15,1,0):OFFSET([2]ORÇAMENTO!$R$267,-1,0)</definedName>
    <definedName name="Import.Desoneracao" localSheetId="2" hidden="1">OFFSET([1]DADOS!$G$18,0,-1)</definedName>
    <definedName name="Import.Desoneracao" hidden="1">OFFSET([2]DADOS!$G$18,0,-1)</definedName>
    <definedName name="Import.empresa" localSheetId="2" hidden="1">[1]DADOS!$F$38</definedName>
    <definedName name="Import.empresa" hidden="1">[2]DADOS!$F$37</definedName>
    <definedName name="Import.Eventos.Nomes" localSheetId="2" hidden="1">OFFSET([1]EVENTOS!$D$15,1,0):OFFSET([1]EVENTOS!$D$65,-1,0)</definedName>
    <definedName name="Import.Eventos.Nomes" hidden="1">OFFSET([2]EVENTOS!$D$15,1,0):OFFSET([2]EVENTOS!$D$65,-1,0)</definedName>
    <definedName name="Import.Fonte" localSheetId="2" hidden="1">OFFSET([1]ORÇAMENTO!$P$15,1,0):OFFSET([1]ORÇAMENTO!$P$266,-1,0)</definedName>
    <definedName name="Import.Fonte" hidden="1">OFFSET([2]ORÇAMENTO!$P$15,1,0):OFFSET([2]ORÇAMENTO!$P$267,-1,0)</definedName>
    <definedName name="Import.FrenteDeObra" localSheetId="2" hidden="1">[1]CÁLCULO!$Q$12:OFFSET([1]CÁLCULO!$AA$12,0,-1)</definedName>
    <definedName name="Import.FrenteDeObra" hidden="1">[2]CÁLCULO!$Q$12:OFFSET([2]CÁLCULO!$AA$12,0,-1)</definedName>
    <definedName name="Import.Município" localSheetId="2" hidden="1">[1]DADOS!$F$6</definedName>
    <definedName name="Import.Município" hidden="1">[2]DADOS!$F$6</definedName>
    <definedName name="Import.Nível" localSheetId="2" hidden="1">OFFSET([1]ORÇAMENTO!$M$15,1,0):OFFSET([1]ORÇAMENTO!$M$266,-1,0)</definedName>
    <definedName name="Import.Nível" hidden="1">OFFSET([2]ORÇAMENTO!$M$15,1,0):OFFSET([2]ORÇAMENTO!$M$267,-1,0)</definedName>
    <definedName name="Import.OpcaoBDI" localSheetId="2" hidden="1">OFFSET([1]ORÇAMENTO!$V$15,1,0):OFFSET([1]ORÇAMENTO!$V$266,-1,0)</definedName>
    <definedName name="Import.OpcaoBDI" hidden="1">OFFSET([2]ORÇAMENTO!$V$15,1,0):OFFSET([2]ORÇAMENTO!$V$267,-1,0)</definedName>
    <definedName name="Import.ORÇAMENTO.DivRecurso" localSheetId="2" hidden="1">OFFSET([1]ORÇAMENTO!$Y$15,1,0):OFFSET([1]ORÇAMENTO!$Y$266,-1,0)</definedName>
    <definedName name="Import.ORÇAMENTO.DivRecurso" hidden="1">OFFSET([2]ORÇAMENTO!$Y$15,1,0):OFFSET([2]ORÇAMENTO!$Y$267,-1,0)</definedName>
    <definedName name="Import.PLE" localSheetId="2" hidden="1">OFFSET([1]PLE!$G$15,1,1):OFFSET([1]PLE!$AG$65,-1,-1)</definedName>
    <definedName name="Import.PLE" hidden="1">OFFSET([2]PLE!$G$15,1,1):OFFSET([2]PLE!$AG$65,-1,-1)</definedName>
    <definedName name="Import.PLQ" localSheetId="2" hidden="1">OFFSET([1]CÁLCULO!$P$15,1,1):OFFSET([1]CÁLCULO!$AA$266,-1,-1)</definedName>
    <definedName name="Import.PLQ" hidden="1">OFFSET([2]CÁLCULO!$P$15,1,1):OFFSET([2]CÁLCULO!$AA$267,-1,-1)</definedName>
    <definedName name="Import.PLQ.MemCalc" localSheetId="2" hidden="1">OFFSET([1]CÁLCULO!$I$15,1,0):OFFSET([1]CÁLCULO!$I$266,-1,0)</definedName>
    <definedName name="Import.PLQ.MemCalc" hidden="1">OFFSET([2]CÁLCULO!$I$15,1,0):OFFSET([2]CÁLCULO!$I$267,-1,0)</definedName>
    <definedName name="Import.Proponente" localSheetId="2" hidden="1">[1]DADOS!$F$5</definedName>
    <definedName name="Import.Proponente" hidden="1">[2]DADOS!$F$5</definedName>
    <definedName name="Import.QCI.Divisao" localSheetId="2" hidden="1">OFFSET([1]QCI!$V$13,1,0):OFFSET([1]QCI!$V$24,-1,0)</definedName>
    <definedName name="Import.QCI.Divisao" hidden="1">OFFSET([2]QCI!$V$13,1,0):OFFSET([2]QCI!$V$24,-1,0)</definedName>
    <definedName name="Import.QCI.ItemInv" localSheetId="2" hidden="1">OFFSET([1]QCI!$E$13,1,0):OFFSET([1]QCI!$E$24,-1,0)</definedName>
    <definedName name="Import.QCI.ItemInv" hidden="1">OFFSET([2]QCI!$E$13,1,0):OFFSET([2]QCI!$E$24,-1,0)</definedName>
    <definedName name="Import.QCI.Qtde" localSheetId="2" hidden="1">OFFSET([1]QCI!$I$13,1,0):OFFSET([1]QCI!$I$24,-1,0)</definedName>
    <definedName name="Import.QCI.Qtde" hidden="1">OFFSET([2]QCI!$I$13,1,0):OFFSET([2]QCI!$I$24,-1,0)</definedName>
    <definedName name="Import.QCI.Situacao" localSheetId="2" hidden="1">OFFSET([1]QCI!$H$13,1,0):OFFSET([1]QCI!$H$24,-1,0)</definedName>
    <definedName name="Import.QCI.Situacao" hidden="1">OFFSET([2]QCI!$H$13,1,0):OFFSET([2]QCI!$H$24,-1,0)</definedName>
    <definedName name="Import.QCI.SubItemInv" localSheetId="2" hidden="1">OFFSET([1]QCI!$F$13,1,0):OFFSET([1]QCI!$F$24,-1,0)</definedName>
    <definedName name="Import.QCI.SubItemInv" hidden="1">OFFSET([2]QCI!$F$13,1,0):OFFSET([2]QCI!$F$24,-1,0)</definedName>
    <definedName name="Import.QCICP" localSheetId="2" hidden="1">OFFSET([1]QCI!$W$13,1,0):OFFSET([1]QCI!$W$24,-1,0)</definedName>
    <definedName name="Import.QCICP" hidden="1">OFFSET([2]QCI!$W$13,1,0):OFFSET([2]QCI!$W$24,-1,0)</definedName>
    <definedName name="Import.QCIDesc" localSheetId="2" hidden="1">OFFSET([1]QCI!$R$13,1,0):OFFSET([1]QCI!$R$24,-1,0)</definedName>
    <definedName name="Import.QCIDesc" hidden="1">OFFSET([2]QCI!$R$13,1,0):OFFSET([2]QCI!$R$24,-1,0)</definedName>
    <definedName name="Import.QCIInv" localSheetId="2" hidden="1">OFFSET([1]QCI!$U$13,1,0):OFFSET([1]QCI!$U$24,-1,0)</definedName>
    <definedName name="Import.QCIInv" hidden="1">OFFSET([2]QCI!$U$13,1,0):OFFSET([2]QCI!$U$24,-1,0)</definedName>
    <definedName name="Import.QCILote" localSheetId="2" hidden="1">OFFSET([1]QCI!$T$13,1,0):OFFSET([1]QCI!$T$24,-1,0)</definedName>
    <definedName name="Import.QCILote" hidden="1">OFFSET([2]QCI!$T$13,1,0):OFFSET([2]QCI!$T$24,-1,0)</definedName>
    <definedName name="Import.QCIOutros" localSheetId="2" hidden="1">OFFSET([1]QCI!$X$13,1,0):OFFSET([1]QCI!$X$24,-1,0)</definedName>
    <definedName name="Import.QCIOutros" hidden="1">OFFSET([2]QCI!$X$13,1,0):OFFSET([2]QCI!$X$24,-1,0)</definedName>
    <definedName name="Import.Quantidade" localSheetId="2" hidden="1">OFFSET([1]ORÇAMENTO!$AJ$15,1,0):OFFSET([1]ORÇAMENTO!$AJ$266,-1,0)</definedName>
    <definedName name="Import.Quantidade" hidden="1">OFFSET([2]ORÇAMENTO!$AJ$15,1,0):OFFSET([2]ORÇAMENTO!$AJ$267,-1,0)</definedName>
    <definedName name="import.recurso" localSheetId="2" hidden="1">[1]DADOS!$F$4</definedName>
    <definedName name="import.recurso" hidden="1">[2]DADOS!$F$4</definedName>
    <definedName name="Import.RegimeExecução" localSheetId="2" hidden="1">OFFSET([1]DADOS!$G$40,0,-1)</definedName>
    <definedName name="Import.RegimeExecução" hidden="1">OFFSET([2]DADOS!$G$39,0,-1)</definedName>
    <definedName name="Import.Repasse" localSheetId="2" hidden="1">[1]DADOS!$F$9</definedName>
    <definedName name="Import.Repasse" hidden="1">[2]DADOS!$F$9</definedName>
    <definedName name="Import.RespFiscalização" localSheetId="2" hidden="1">[1]DADOS!$F$51:$F$54</definedName>
    <definedName name="Import.RespFiscalização" hidden="1">[2]DADOS!$F$50:$F$53</definedName>
    <definedName name="Import.RespOrçamento" localSheetId="2" hidden="1">[1]DADOS!$F$22:$F$24</definedName>
    <definedName name="Import.RespOrçamento" hidden="1">[2]DADOS!$F$22:$F$24</definedName>
    <definedName name="Import.SICONV" hidden="1">[2]DADOS!$F$8</definedName>
    <definedName name="Import.TipoArredondamento" hidden="1">[1]DADOS!$F$31</definedName>
    <definedName name="Import.TransfereGOV" hidden="1">[1]DADOS!$F$8</definedName>
    <definedName name="Import.Unidade" localSheetId="2" hidden="1">OFFSET([1]ORÇAMENTO!$S$15,1,0):OFFSET([1]ORÇAMENTO!$S$266,-1,0)</definedName>
    <definedName name="Import.Unidade" hidden="1">OFFSET([2]ORÇAMENTO!$S$15,1,0):OFFSET([2]ORÇAMENTO!$S$267,-1,0)</definedName>
    <definedName name="Import.UnitarioLicitado" localSheetId="2" hidden="1">OFFSET([1]ORÇAMENTO!$AL$15,1,0):OFFSET([1]ORÇAMENTO!$AL$266,-1,0)</definedName>
    <definedName name="Import.UnitarioLicitado" hidden="1">OFFSET([2]ORÇAMENTO!$AL$15,1,0):OFFSET([2]ORÇAMENTO!$AL$267,-1,0)</definedName>
    <definedName name="insumos">[6]INSUMOS!$A$1:$D$786</definedName>
    <definedName name="Item" localSheetId="1">#REF!</definedName>
    <definedName name="Item">#REF!</definedName>
    <definedName name="joa" localSheetId="1">#REF!</definedName>
    <definedName name="joa">#REF!</definedName>
    <definedName name="JR_PAGE_ANCHOR_0_1">#REF!</definedName>
    <definedName name="LALA">[5]!PassaExtenso</definedName>
    <definedName name="LALU">[5]!PassaExtenso</definedName>
    <definedName name="Local" localSheetId="1">#REF!</definedName>
    <definedName name="Local">#REF!</definedName>
    <definedName name="maia" localSheetId="1">#REF!</definedName>
    <definedName name="maia">#REF!</definedName>
    <definedName name="mel" localSheetId="1">#REF!</definedName>
    <definedName name="mel">#REF!</definedName>
    <definedName name="melissa">[7]Orcamento!$B$7:$C$268</definedName>
    <definedName name="MENU.CRONO" localSheetId="2" hidden="1">OFFSET([1]CRONO!$T$11,1,0)</definedName>
    <definedName name="MENU.CRONO" hidden="1">OFFSET([2]CRONO!$T$11,1,0)</definedName>
    <definedName name="Objeto" localSheetId="2" hidden="1">[1]MENU!$J$1</definedName>
    <definedName name="Objeto" hidden="1">[2]MENU!$J$1</definedName>
    <definedName name="orca">[7]Orcamento!$B$9:$C$149</definedName>
    <definedName name="ORÇAMENTO.BancoRef" localSheetId="2" hidden="1">[1]ORÇAMENTO!$F$8</definedName>
    <definedName name="ORÇAMENTO.BancoRef" hidden="1">[2]ORÇAMENTO!$F$8</definedName>
    <definedName name="ORÇAMENTO.CodBarra" localSheetId="2" hidden="1">IF(BDI!ORÇAMENTO.Fonte="Sinapi",SUBSTITUTE(SUBSTITUTE(BDI!ORÇAMENTO.Codigo,"/00","/"),"/0","/"),BDI!ORÇAMENTO.Codigo)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localSheetId="2" hidden="1">[1]ORÇAMENTO!$Q1</definedName>
    <definedName name="ORÇAMENTO.Codigo" hidden="1">[2]ORÇAMENTO!$Q1</definedName>
    <definedName name="ORÇAMENTO.CustoUnitario" localSheetId="2" hidden="1">ROUND([1]ORÇAMENTO!$U1,15-13*[1]ORÇAMENTO!$AF$8)</definedName>
    <definedName name="ORÇAMENTO.CustoUnitario" hidden="1">ROUND([2]ORÇAMENTO!$U1,15-13*[2]ORÇAMENTO!$AF$8)</definedName>
    <definedName name="ORÇAMENTO.Descricao" localSheetId="2" hidden="1">[1]ORÇAMENTO!$R1</definedName>
    <definedName name="ORÇAMENTO.Descricao" hidden="1">[2]ORÇAMENTO!$R1</definedName>
    <definedName name="ORÇAMENTO.Fonte" localSheetId="2" hidden="1">[1]ORÇAMENTO!$P1</definedName>
    <definedName name="ORÇAMENTO.Fonte" hidden="1">[2]ORÇAMENTO!$P1</definedName>
    <definedName name="ORÇAMENTO.ListaCrono" localSheetId="2" hidden="1">OFFSET([1]ORÇAMENTO!$AD$15,1,0):OFFSET([1]ORÇAMENTO!$AD$266,-1,0)</definedName>
    <definedName name="ORÇAMENTO.ListaCrono" hidden="1">OFFSET([2]ORÇAMENTO!$AD$15,1,0):OFFSET([2]ORÇAMENTO!$AD$267,-1,0)</definedName>
    <definedName name="ORÇAMENTO.MáximoListaCrono" localSheetId="2" hidden="1">MAX(BDI!ORÇAMENTO.ListaCrono)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localSheetId="2" hidden="1">[1]ORÇAMENTO!$M1</definedName>
    <definedName name="ORÇAMENTO.Nivel" hidden="1">[2]ORÇAMENTO!$M1</definedName>
    <definedName name="ORÇAMENTO.OpcaoBDI" localSheetId="2" hidden="1">[1]ORÇAMENTO!$V1</definedName>
    <definedName name="ORÇAMENTO.OpcaoBDI" hidden="1">[2]ORÇAMENTO!$V1</definedName>
    <definedName name="ORÇAMENTO.PasteFormat1" localSheetId="2" hidden="1">OFFSET([1]ORÇAMENTO!$P$15,1,0):OFFSET([1]ORÇAMENTO!$S$266,-1,0)</definedName>
    <definedName name="ORÇAMENTO.PasteFormat1" hidden="1">OFFSET([2]ORÇAMENTO!$P$15,1,0):OFFSET([2]ORÇAMENTO!$S$267,-1,0)</definedName>
    <definedName name="ORÇAMENTO.PasteFormat2" localSheetId="2" hidden="1">OFFSET([1]ORÇAMENTO!$U$15,1,0):OFFSET([1]ORÇAMENTO!$V$266,-1,0)</definedName>
    <definedName name="ORÇAMENTO.PasteFormat2" hidden="1">OFFSET([2]ORÇAMENTO!$U$15,1,0):OFFSET([2]ORÇAMENTO!$V$267,-1,0)</definedName>
    <definedName name="ORÇAMENTO.PrecoUnitarioLicitado" localSheetId="2" hidden="1">[1]ORÇAMENTO!$AL1</definedName>
    <definedName name="ORÇAMENTO.PrecoUnitarioLicitado" hidden="1">[2]ORÇAMENTO!$AL1</definedName>
    <definedName name="ORÇAMENTO.RangeQuant" localSheetId="2" hidden="1">OFFSET([1]ORÇAMENTO!$T$15,1,0):OFFSET([1]ORÇAMENTO!$T$266,-1,0)</definedName>
    <definedName name="ORÇAMENTO.RangeQuant" hidden="1">OFFSET([2]ORÇAMENTO!$T$15,1,0):OFFSET([2]ORÇAMENTO!$T$267,-1,0)</definedName>
    <definedName name="ORÇAMENTO.SumCPMANUAL" localSheetId="2" hidden="1">SUMIF([1]ORÇAMENTO!$Z$15:$Z$266,"CP",[1]ORÇAMENTO!$AA$15:$AA$266)</definedName>
    <definedName name="ORÇAMENTO.SumCPMANUAL" hidden="1">SUMIF([2]ORÇAMENTO!$Z$15:$Z$267,"CP",[2]ORÇAMENTO!$AA$15:$AA$267)</definedName>
    <definedName name="ORÇAMENTO.SumINVMANUAL" localSheetId="2" hidden="1">SUMIF([1]ORÇAMENTO!$Z$15:$Z$266,"RP",[1]ORÇAMENTO!$X$15:$X$266)+SUMIF([1]ORÇAMENTO!$Z$15:$Z$266,"CP",[1]ORÇAMENTO!$X$15:$X$266)+SUMIF([1]ORÇAMENTO!$Z$15:$Z$266,"OU",[1]ORÇAMENTO!$X$15:$X$266)</definedName>
    <definedName name="ORÇAMENTO.SumINVMANUAL" hidden="1">SUMIF([2]ORÇAMENTO!$Z$15:$Z$267,"RP",[2]ORÇAMENTO!$X$15:$X$267)+SUMIF([2]ORÇAMENTO!$Z$15:$Z$267,"CP",[2]ORÇAMENTO!$X$15:$X$267)+SUMIF([2]ORÇAMENTO!$Z$15:$Z$267,"OU",[2]ORÇAMENTO!$X$15:$X$267)</definedName>
    <definedName name="ORÇAMENTO.SumOUTROSMANUAL" localSheetId="2" hidden="1">SUMIF([1]ORÇAMENTO!$Z$15:$Z$266,"OU",[1]ORÇAMENTO!$AB$15:$AB$266)</definedName>
    <definedName name="ORÇAMENTO.SumOUTROSMANUAL" hidden="1">SUMIF([2]ORÇAMENTO!$Z$15:$Z$267,"OU",[2]ORÇAMENTO!$AB$15:$AB$267)</definedName>
    <definedName name="ORÇAMENTO.SumREPASSEMANUAL" localSheetId="2" hidden="1">BDI!ORÇAMENTO.SumINVMANUAL-BDI!ORÇAMENTO.SumCPMANUAL-BDI!ORÇAMENTO.SumOUTROSMANUAL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localSheetId="2" hidden="1">[1]ORÇAMENTO!$S1</definedName>
    <definedName name="ORÇAMENTO.Unidade" hidden="1">[2]ORÇAMENTO!$S1</definedName>
    <definedName name="PassaExtenso">[8]!PassaExtenso</definedName>
    <definedName name="plan" localSheetId="1">#REF!</definedName>
    <definedName name="plan">#REF!</definedName>
    <definedName name="Plano" localSheetId="1">#REF!</definedName>
    <definedName name="Plano">#REF!</definedName>
    <definedName name="PLE.firstrow" localSheetId="2" hidden="1">[1]PLE!$15:$15</definedName>
    <definedName name="PLE.firstrow" hidden="1">[2]PLE!$15:$15</definedName>
    <definedName name="PLE.lastrow" localSheetId="2" hidden="1">[1]PLE!$65:$65</definedName>
    <definedName name="PLE.lastrow" hidden="1">[2]PLE!$65:$65</definedName>
    <definedName name="PLE.Medicao" localSheetId="2" hidden="1">[1]PLE!$J$9</definedName>
    <definedName name="PLE.Medicao" hidden="1">[2]PLE!$J$9</definedName>
    <definedName name="PLE.ValorDoEvento" localSheetId="2" hidden="1">SUMIF([1]CÁLCULO!$M$15:$M$266,[1]PLE!$B1,OFFSET([1]CÁLCULO!$AA$15:$AA$266,0,[1]PLE!A$12))</definedName>
    <definedName name="PLE.ValorDoEvento" hidden="1">SUMIF([2]CÁLCULO!$M$15:$M$267,[2]PLE!$B1,OFFSET([2]CÁLCULO!$AA$15:$AA$267,0,[2]PLE!A$12))</definedName>
    <definedName name="PO.ValoresBDI" localSheetId="2" hidden="1">OFFSET([1]ORÇAMENTO!$AH$15,1,0):OFFSET([1]ORÇAMENTO!$AH$266,-1,0)</definedName>
    <definedName name="PO.ValoresBDI" hidden="1">OFFSET([2]ORÇAMENTO!$AH$15,1,0):OFFSET([2]ORÇAMENTO!$AH$267,-1,0)</definedName>
    <definedName name="QCI.CPManual" localSheetId="2" hidden="1">ROUND([1]QCI!$W1,2)</definedName>
    <definedName name="QCI.CPManual" hidden="1">ROUND([2]QCI!$W1,2)</definedName>
    <definedName name="QCI.DescManual" localSheetId="2" hidden="1">[1]QCI!$R1</definedName>
    <definedName name="QCI.DescManual" hidden="1">[2]QCI!$R1</definedName>
    <definedName name="QCI.Divisao" localSheetId="2" hidden="1">[1]QCI!$V1</definedName>
    <definedName name="QCI.Divisao" hidden="1">[2]QCI!$V1</definedName>
    <definedName name="QCI.ExisteManual" localSheetId="2" hidden="1">(COUNTIF([1]QCI!$B$13:$B$24,"Manual")+COUNTIF([1]QCI!$B$13:$B$24,"SemiAuto"))&gt;0</definedName>
    <definedName name="QCI.ExisteManual" hidden="1">(COUNTIF([2]QCI!$B$13:$B$24,"Manual")+COUNTIF([2]QCI!$B$13:$B$24,"SemiAuto"))&gt;0</definedName>
    <definedName name="QCI.InvManual" localSheetId="2" hidden="1">ROUND([1]QCI!$U1,2)</definedName>
    <definedName name="QCI.InvManual" hidden="1">ROUND([2]QCI!$U1,2)</definedName>
    <definedName name="QCI.ItemInvestimento" localSheetId="2" hidden="1">OFFSET([1]DADOS!$J$2,1,0,COUNTA([1]DADOS!$J:$J)-1,1)</definedName>
    <definedName name="QCI.ItemInvestimento" hidden="1">OFFSET([2]DADOS!$J$2,1,0,COUNTA([2]DADOS!$J:$J)-1,1)</definedName>
    <definedName name="QCI.LoteManual" localSheetId="2" hidden="1">[1]QCI!$T1</definedName>
    <definedName name="QCI.LoteManual" hidden="1">[2]QCI!$T1</definedName>
    <definedName name="QCI.MaxCPManual" localSheetId="2" hidden="1">[1]QCI!$O1-[1]QCI!$X1</definedName>
    <definedName name="QCI.MaxCPManual" hidden="1">[2]QCI!$O1-[2]QCI!$X1</definedName>
    <definedName name="QCI.MaxOUManual" localSheetId="2" hidden="1">[1]QCI!$O1-[1]QCI!$W1</definedName>
    <definedName name="QCI.MaxOUManual" hidden="1">[2]QCI!$O1-[2]QCI!$W1</definedName>
    <definedName name="QCI.OutrosManual" localSheetId="2" hidden="1">ROUND([1]QCI!$X1,2)</definedName>
    <definedName name="QCI.OutrosManual" hidden="1">ROUND([2]QCI!$X1,2)</definedName>
    <definedName name="QCI.SubItemInvestimento" localSheetId="2" hidden="1">OFFSET([1]DADOS!$A$2,1,MATCH([1]QCI!$E1,[1]DADOS!$2:$2,0)-1,INDEX([1]DADOS!$2:$2,MATCH([1]QCI!$E1,[1]DADOS!$2:$2,0)+1))</definedName>
    <definedName name="QCI.SubItemInvestimento" hidden="1">OFFSET([2]DADOS!$A$2,1,MATCH([2]QCI!$E1,[2]DADOS!$2:$2,0)-1,INDEX([2]DADOS!$2:$2,MATCH([2]QCI!$E1,[2]DADOS!$2:$2,0)+1))</definedName>
    <definedName name="QCI.SumCPMANUAL" localSheetId="2" hidden="1">SUMIF([1]QCI!$B$13:$B$24,"Manual",[1]QCI!$AA$13:$AA$24)</definedName>
    <definedName name="QCI.SumCPMANUAL" hidden="1">SUMIF([2]QCI!$B$13:$B$24,"Manual",[2]QCI!$AA$13:$AA$24)</definedName>
    <definedName name="QCI.SumINVMANUAL" localSheetId="2" hidden="1">SUMIF([1]QCI!$B$13:$B$24,"Manual",[1]QCI!$O$13:$O$24)</definedName>
    <definedName name="QCI.SumINVMANUAL" hidden="1">SUMIF([2]QCI!$B$13:$B$24,"Manual",[2]QCI!$O$13:$O$24)</definedName>
    <definedName name="QCI.SumOUTROSMANUAL" localSheetId="2" hidden="1">SUMIF([1]QCI!$B$13:$B$24,"Manual",[1]QCI!$AB$13:$AB$24)</definedName>
    <definedName name="QCI.SumOUTROSMANUAL" hidden="1">SUMIF([2]QCI!$B$13:$B$24,"Manual",[2]QCI!$AB$13:$AB$24)</definedName>
    <definedName name="QCI.SumREPASSEMANUAL" localSheetId="2" hidden="1">BDI!QCI.SumINVMANUAL-BDI!QCI.CPManual-BDI!QCI.OutrosManual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REFERENCIA.Descricao" localSheetId="2" hidden="1">IF(ISNUMBER([1]ORÇAMENTO!$AF1),OFFSET(INDIRECT(BDI!ORÇAMENTO.BancoRef),[1]ORÇAMENTO!$AF1-1,3,1),[1]ORÇAMENTO!$AF1)</definedName>
    <definedName name="REFERENCIA.Descricao" localSheetId="1" hidden="1">IF(ISNUMBER([2]ORÇAMENTO!$AF1),OFFSET(INDIRECT(ORÇAMENTO.BancoRef),[2]ORÇAMENTO!$AF1-1,3,1),[2]ORÇAMENTO!$AF1)</definedName>
    <definedName name="REFERENCIA.Descricao" hidden="1">IF(ISNUMBER([2]ORÇAMENTO!$AF1),OFFSET(INDIRECT(ORÇAMENTO.BancoRef),[2]ORÇAMENTO!$AF1-1,3,1),[2]ORÇAMENTO!$AF1)</definedName>
    <definedName name="REFERENCIA.Desonerado" localSheetId="2" hidden="1">IF(ISNUMBER([1]ORÇAMENTO!$AF1),VALUE(OFFSET(INDIRECT(BDI!ORÇAMENTO.BancoRef),[1]ORÇAMENTO!$AF1-1,5,1)),0)</definedName>
    <definedName name="REFERENCIA.Desonerado" localSheetId="1" hidden="1">IF(ISNUMBER([2]ORÇAMENTO!$AF1),VALUE(OFFSET(INDIRECT(ORÇAMENTO.BancoRef),[2]ORÇAMENTO!$AF1-1,5,1)),0)</definedName>
    <definedName name="REFERENCIA.Desonerado" hidden="1">IF(ISNUMBER([2]ORÇAMENTO!$AF1),VALUE(OFFSET(INDIRECT(ORÇAMENTO.BancoRef),[2]ORÇAMENTO!$AF1-1,5,1)),0)</definedName>
    <definedName name="REFERENCIA.NaoDesonerado" localSheetId="2" hidden="1">IF(ISNUMBER([1]ORÇAMENTO!$AF1),VALUE(OFFSET(INDIRECT(BDI!ORÇAMENTO.BancoRef),[1]ORÇAMENTO!$AF1-1,6,1)),0)</definedName>
    <definedName name="REFERENCIA.NaoDesonerado" localSheetId="1" hidden="1">IF(ISNUMBER([2]ORÇAMENTO!$AF1),VALUE(OFFSET(INDIRECT(ORÇAMENTO.BancoRef),[2]ORÇAMENTO!$AF1-1,6,1)),0)</definedName>
    <definedName name="REFERENCIA.NaoDesonerado" hidden="1">IF(ISNUMBER([2]ORÇAMENTO!$AF1),VALUE(OFFSET(INDIRECT(ORÇAMENTO.BancoRef),[2]ORÇAMENTO!$AF1-1,6,1)),0)</definedName>
    <definedName name="REFERENCIA.Unidade" localSheetId="2" hidden="1">IF(ISNUMBER([1]ORÇAMENTO!$AF1),OFFSET(INDIRECT(BDI!ORÇAMENTO.BancoRef),[1]ORÇAMENTO!$AF1-1,4,1),"-")</definedName>
    <definedName name="REFERENCIA.Unidade" localSheetId="1" hidden="1">IF(ISNUMBER([2]ORÇAMENTO!$AF1),OFFSET(INDIRECT(ORÇAMENTO.BancoRef),[2]ORÇAMENTO!$AF1-1,4,1),"-")</definedName>
    <definedName name="REFERENCIA.Unidade" hidden="1">IF(ISNUMBER([2]ORÇAMENTO!$AF1),OFFSET(INDIRECT(ORÇAMENTO.BancoRef),[2]ORÇAMENTO!$AF1-1,4,1),"-")</definedName>
    <definedName name="RegimeExecucao" localSheetId="2" hidden="1">IF(OR(BDI!Import.RegimeExecução="",BDI!Import.RegimeExecução="Empreitada por Preço Global",BDI!Import.RegimeExecução="Empreitada Integral"),"Global","Unitário")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RE.MaxCPAcum" localSheetId="2" hidden="1">[1]RRE!$AD$26</definedName>
    <definedName name="RRE.MaxCPAcum" hidden="1">[2]RRE!$AD$26</definedName>
    <definedName name="RRE.MaxCPAnt" localSheetId="2" hidden="1">[1]RRE!$AC$26</definedName>
    <definedName name="RRE.MaxCPAnt" hidden="1">[2]RRE!$AC$26</definedName>
    <definedName name="RRE.MaxOUAcum" localSheetId="2" hidden="1">[1]RRE!$AD$27</definedName>
    <definedName name="RRE.MaxOUAcum" hidden="1">[2]RRE!$AD$27</definedName>
    <definedName name="RRE.MaxOUAnt" localSheetId="2" hidden="1">[1]RRE!$AC$27</definedName>
    <definedName name="RRE.MaxOUAnt" hidden="1">[2]RRE!$AC$27</definedName>
    <definedName name="RRE.Numero" localSheetId="2" hidden="1">OFFSET([1]RRE!$O$7,0,1)</definedName>
    <definedName name="RRE.Numero" hidden="1">OFFSET([2]RRE!$O$7,0,1)</definedName>
    <definedName name="RRE.VIMeta" localSheetId="2" hidden="1">[1]RRE!$L1</definedName>
    <definedName name="RRE.VIMeta" hidden="1">[2]RRE!$L1</definedName>
    <definedName name="SENHAGT" hidden="1">"PM3CAIXA"</definedName>
    <definedName name="SIIG" localSheetId="1">#REF!</definedName>
    <definedName name="SIIG">#REF!</definedName>
    <definedName name="SomaAgrup" localSheetId="2" hidden="1">SUMIF(OFFSET([1]ORÇAMENTO!$C1,1,0,[1]ORÇAMENTO!$D1),"S",OFFSET([1]ORÇAMENTO!A1,1,0,[1]ORÇAMENTO!$D1))</definedName>
    <definedName name="SomaAgrup" hidden="1">SUMIF(OFFSET([2]ORÇAMENTO!$C1,1,0,[2]ORÇAMENTO!$D1),"S",OFFSET([2]ORÇAMENTO!A1,1,0,[2]ORÇAMENTO!$D1))</definedName>
    <definedName name="SomaAgrupBM" localSheetId="2" hidden="1">SUMIF(OFFSET([1]BM!$A1,1,0,[1]BM!$B1),"S",OFFSET([1]BM!A1,1,0,[1]BM!$B1))</definedName>
    <definedName name="SomaAgrupBM" hidden="1">SUMIF(OFFSET([2]BM!$A1,1,0,[2]BM!$B1),"S",OFFSET([2]BM!A1,1,0,[2]BM!$B1))</definedName>
    <definedName name="TAB.">'[9]PLANILHA FONTE'!$B$2:$G$197</definedName>
    <definedName name="TABELA">'[10]PLANILHA FONTE'!$B$1:$G$290</definedName>
    <definedName name="TABELA.">'[9]PLANILHA FONTE'!$B$2:$G$197</definedName>
    <definedName name="TABELAA">'[9]PLANILHA FONTE'!$B$2:$G$197</definedName>
    <definedName name="TIPOORCAMENTO" localSheetId="2" hidden="1">IF(VALUE([1]MENU!$O$3)=2,"Licitado","Proposto")</definedName>
    <definedName name="TIPOORCAMENTO" hidden="1">IF(VALUE([2]MENU!$O$3)=2,"Licitado","Proposto")</definedName>
    <definedName name="_xlnm.Print_Titles" localSheetId="2">BDI!$1:$13</definedName>
    <definedName name="TONINHO" localSheetId="1">#REF!</definedName>
    <definedName name="TONINHO">#REF!</definedName>
    <definedName name="TY" localSheetId="1">#REF!</definedName>
    <definedName name="TY">#REF!</definedName>
    <definedName name="Unidade" localSheetId="1">#REF!</definedName>
    <definedName name="Unidade">#REF!</definedName>
    <definedName name="Versao" localSheetId="2" hidden="1">[1]MENU!$J$2</definedName>
    <definedName name="Versao" hidden="1">[2]MENU!$J$2</definedName>
    <definedName name="VTOTAL1" localSheetId="2" hidden="1">ROUND([1]ORÇAMENTO!$T1*[1]ORÇAMENTO!$W1,15-13*[1]ORÇAMENTO!$AF$11)</definedName>
    <definedName name="VTOTAL1" hidden="1">ROUND([2]ORÇAMENTO!$T1*[2]ORÇAMENTO!$W1,15-13*[2]ORÇAMENTO!$AF$11)</definedName>
    <definedName name="VTOTALBM" localSheetId="2" hidden="1">IF([1]BM!$I1=0,0,CHOOSE(MATCH(BDI!RegimeExecucao,{"Global","Unitário"},0),ROUND(ROUND([1]BM!XFB1,15-13*[1]BM!$A$9)/100*[1]BM!$I1,15-13*[1]ORÇAMENTO!$AF$11),ROUND(ROUND([1]BM!XFB1,15-13*[1]BM!$A$9)*ROUND([1]BM!$H1,15-13*[1]ORÇAMENTO!$AF$10),15-13*[1]ORÇAMENTO!$AF$11)))</definedName>
    <definedName name="VTOTALBM" localSheetId="1" hidden="1">IF([2]BM!$I1=0,0,CHOOSE(MATCH('CRONO CAIXA'!RegimeExecucao,{"Global","Unitário"},0),ROUND(ROUND([2]BM!IT1,15-13*[2]BM!$A$9)/100*[2]BM!$I1,15-13*[2]ORÇAMENTO!$AF$11),ROUND(ROUND([2]BM!IT1,15-13*[2]BM!$A$9)*ROUND([2]BM!$H1,15-13*[2]ORÇAMENTO!$AF$10),15-13*[2]ORÇAMENTO!$AF$11)))</definedName>
    <definedName name="VTOTALBM" hidden="1">IF([2]BM!$I1=0,0,CHOOSE(MATCH(RegimeExecucao,{"Global","Unitário"},0),ROUND(ROUND([2]BM!IT1,15-13*[2]BM!$A$9)/100*[2]BM!$I1,15-13*[2]ORÇAMENTO!$AF$11),ROUND(ROUND([2]BM!IT1,15-13*[2]BM!$A$9)*ROUND([2]BM!$H1,15-13*[2]ORÇAMENTO!$AF$10),15-13*[2]ORÇAMENTO!$AF$11)))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15" l="1"/>
  <c r="T12" i="15"/>
  <c r="R12" i="15"/>
  <c r="P12" i="15"/>
  <c r="N12" i="15"/>
  <c r="L12" i="15"/>
  <c r="J12" i="15"/>
  <c r="X20" i="15"/>
  <c r="Z22" i="15"/>
  <c r="Z35" i="15"/>
  <c r="Z34" i="15"/>
  <c r="X34" i="15"/>
  <c r="V33" i="15"/>
  <c r="V32" i="15"/>
  <c r="V31" i="15"/>
  <c r="V30" i="15"/>
  <c r="V29" i="15"/>
  <c r="T29" i="15"/>
  <c r="T26" i="15"/>
  <c r="T25" i="15"/>
  <c r="V24" i="15"/>
  <c r="T23" i="15"/>
  <c r="R23" i="15"/>
  <c r="R18" i="15"/>
  <c r="P18" i="15"/>
  <c r="R17" i="15"/>
  <c r="P17" i="15"/>
  <c r="P21" i="15"/>
  <c r="N21" i="15"/>
  <c r="N16" i="15"/>
  <c r="L16" i="15"/>
  <c r="J19" i="15"/>
  <c r="L15" i="15"/>
  <c r="J15" i="15"/>
  <c r="J14" i="15"/>
  <c r="H14" i="15"/>
  <c r="H13" i="15"/>
  <c r="H12" i="15"/>
  <c r="X12" i="15" l="1"/>
  <c r="Z12" i="15" s="1"/>
  <c r="K130" i="14" a="1"/>
  <c r="K132" i="14" s="1"/>
  <c r="J125" i="14"/>
  <c r="J120" i="14"/>
  <c r="J118" i="14"/>
  <c r="N115" i="14"/>
  <c r="S108" i="14"/>
  <c r="S107" i="14"/>
  <c r="S109" i="14" s="1"/>
  <c r="R105" i="14"/>
  <c r="J105" i="14"/>
  <c r="R104" i="14"/>
  <c r="J104" i="14"/>
  <c r="R103" i="14"/>
  <c r="J103" i="14"/>
  <c r="R102" i="14"/>
  <c r="J102" i="14"/>
  <c r="R101" i="14"/>
  <c r="J101" i="14"/>
  <c r="K90" i="14" a="1"/>
  <c r="K90" i="14" s="1"/>
  <c r="J85" i="14"/>
  <c r="J80" i="14"/>
  <c r="J78" i="14"/>
  <c r="N75" i="14"/>
  <c r="S68" i="14"/>
  <c r="S67" i="14"/>
  <c r="S69" i="14" s="1"/>
  <c r="R65" i="14"/>
  <c r="J65" i="14"/>
  <c r="R64" i="14"/>
  <c r="J64" i="14"/>
  <c r="R63" i="14"/>
  <c r="J63" i="14"/>
  <c r="R62" i="14"/>
  <c r="J62" i="14"/>
  <c r="R61" i="14"/>
  <c r="J61" i="14"/>
  <c r="K50" i="14" a="1"/>
  <c r="K51" i="14" s="1"/>
  <c r="C46" i="14"/>
  <c r="A46" i="14"/>
  <c r="A47" i="14" s="1"/>
  <c r="J45" i="14"/>
  <c r="C45" i="14"/>
  <c r="A45" i="14"/>
  <c r="C44" i="14"/>
  <c r="C43" i="14"/>
  <c r="C42" i="14"/>
  <c r="C41" i="14"/>
  <c r="J40" i="14"/>
  <c r="C40" i="14"/>
  <c r="C39" i="14"/>
  <c r="J38" i="14"/>
  <c r="C38" i="14"/>
  <c r="N35" i="14"/>
  <c r="C33" i="14"/>
  <c r="A33" i="14"/>
  <c r="A34" i="14" s="1"/>
  <c r="C32" i="14"/>
  <c r="S28" i="14"/>
  <c r="S27" i="14"/>
  <c r="A27" i="14"/>
  <c r="A28" i="14" s="1"/>
  <c r="C26" i="14"/>
  <c r="R25" i="14"/>
  <c r="J25" i="14"/>
  <c r="R24" i="14"/>
  <c r="J24" i="14"/>
  <c r="R23" i="14"/>
  <c r="J23" i="14"/>
  <c r="R22" i="14"/>
  <c r="J22" i="14"/>
  <c r="R21" i="14"/>
  <c r="J21" i="14"/>
  <c r="A21" i="14"/>
  <c r="C21" i="14" s="1"/>
  <c r="C20" i="14"/>
  <c r="C17" i="14"/>
  <c r="A17" i="14"/>
  <c r="A18" i="14" s="1"/>
  <c r="C16" i="14"/>
  <c r="A16" i="14"/>
  <c r="C15" i="14"/>
  <c r="A15" i="14"/>
  <c r="C14" i="14"/>
  <c r="C13" i="14"/>
  <c r="C12" i="14"/>
  <c r="C11" i="14"/>
  <c r="C10" i="14"/>
  <c r="C9" i="14"/>
  <c r="J8" i="14"/>
  <c r="C8" i="14"/>
  <c r="N5" i="14"/>
  <c r="L5" i="14"/>
  <c r="J5" i="14"/>
  <c r="A5" i="14"/>
  <c r="A6" i="14" s="1"/>
  <c r="A4" i="14"/>
  <c r="C4" i="14" s="1"/>
  <c r="A3" i="14"/>
  <c r="C3" i="14" s="1"/>
  <c r="C2" i="14"/>
  <c r="O1" i="14"/>
  <c r="K50" i="14" l="1"/>
  <c r="K52" i="14"/>
  <c r="S110" i="14"/>
  <c r="I132" i="14"/>
  <c r="I103" i="14"/>
  <c r="I95" i="14"/>
  <c r="I106" i="14"/>
  <c r="I102" i="14"/>
  <c r="I97" i="14"/>
  <c r="I125" i="14"/>
  <c r="I99" i="14"/>
  <c r="S70" i="14"/>
  <c r="S30" i="14"/>
  <c r="I79" i="14"/>
  <c r="I73" i="14"/>
  <c r="I67" i="14"/>
  <c r="I60" i="14"/>
  <c r="I85" i="14"/>
  <c r="I66" i="14"/>
  <c r="I62" i="14"/>
  <c r="I59" i="14"/>
  <c r="I90" i="14"/>
  <c r="I84" i="14"/>
  <c r="I78" i="14"/>
  <c r="I58" i="14"/>
  <c r="I55" i="14"/>
  <c r="I93" i="14"/>
  <c r="I89" i="14"/>
  <c r="I83" i="14"/>
  <c r="I77" i="14"/>
  <c r="I72" i="14"/>
  <c r="I63" i="14"/>
  <c r="I57" i="14"/>
  <c r="I92" i="14"/>
  <c r="I88" i="14"/>
  <c r="I82" i="14"/>
  <c r="I76" i="14"/>
  <c r="I71" i="14"/>
  <c r="I69" i="14"/>
  <c r="I56" i="14"/>
  <c r="I87" i="14"/>
  <c r="I64" i="14"/>
  <c r="I91" i="14"/>
  <c r="I81" i="14"/>
  <c r="I86" i="14"/>
  <c r="I75" i="14"/>
  <c r="I70" i="14"/>
  <c r="I68" i="14"/>
  <c r="I54" i="14"/>
  <c r="I80" i="14"/>
  <c r="I74" i="14"/>
  <c r="I65" i="14"/>
  <c r="I61" i="14"/>
  <c r="A48" i="14"/>
  <c r="C47" i="14"/>
  <c r="A35" i="14"/>
  <c r="C34" i="14"/>
  <c r="A29" i="14"/>
  <c r="C28" i="14"/>
  <c r="A7" i="14"/>
  <c r="C7" i="14" s="1"/>
  <c r="C6" i="14"/>
  <c r="C18" i="14"/>
  <c r="A19" i="14"/>
  <c r="C19" i="14" s="1"/>
  <c r="S29" i="14"/>
  <c r="I5" i="12" s="1"/>
  <c r="H16" i="12" s="1"/>
  <c r="K91" i="14"/>
  <c r="I112" i="14"/>
  <c r="I117" i="14"/>
  <c r="I123" i="14"/>
  <c r="I129" i="14"/>
  <c r="C5" i="14"/>
  <c r="C27" i="14"/>
  <c r="K92" i="14"/>
  <c r="I98" i="14"/>
  <c r="I118" i="14"/>
  <c r="I124" i="14"/>
  <c r="I130" i="14"/>
  <c r="A22" i="14"/>
  <c r="I100" i="14"/>
  <c r="I107" i="14"/>
  <c r="I113" i="14"/>
  <c r="I119" i="14"/>
  <c r="K130" i="14"/>
  <c r="I101" i="14"/>
  <c r="I105" i="14"/>
  <c r="I114" i="14"/>
  <c r="I120" i="14"/>
  <c r="K131" i="14"/>
  <c r="I94" i="14"/>
  <c r="I108" i="14"/>
  <c r="I110" i="14"/>
  <c r="I115" i="14"/>
  <c r="I126" i="14"/>
  <c r="I104" i="14"/>
  <c r="I121" i="14"/>
  <c r="I127" i="14"/>
  <c r="I131" i="14"/>
  <c r="I96" i="14"/>
  <c r="I109" i="14"/>
  <c r="I111" i="14"/>
  <c r="I116" i="14"/>
  <c r="I122" i="14"/>
  <c r="I128" i="14"/>
  <c r="H548" i="12" l="1"/>
  <c r="H549" i="12"/>
  <c r="H538" i="12"/>
  <c r="J538" i="12" s="1"/>
  <c r="H539" i="12"/>
  <c r="H546" i="12"/>
  <c r="H540" i="12"/>
  <c r="H542" i="12"/>
  <c r="H541" i="12"/>
  <c r="H543" i="12"/>
  <c r="H545" i="12"/>
  <c r="H544" i="12"/>
  <c r="H522" i="12"/>
  <c r="J522" i="12" s="1"/>
  <c r="H524" i="12"/>
  <c r="H532" i="12"/>
  <c r="H525" i="12"/>
  <c r="H533" i="12"/>
  <c r="H526" i="12"/>
  <c r="J526" i="12" s="1"/>
  <c r="H534" i="12"/>
  <c r="H529" i="12"/>
  <c r="H530" i="12"/>
  <c r="H523" i="12"/>
  <c r="H527" i="12"/>
  <c r="H535" i="12"/>
  <c r="H528" i="12"/>
  <c r="J528" i="12" s="1"/>
  <c r="H536" i="12"/>
  <c r="H531" i="12"/>
  <c r="H519" i="12"/>
  <c r="H520" i="12"/>
  <c r="H516" i="12"/>
  <c r="H517" i="12"/>
  <c r="H509" i="12"/>
  <c r="H510" i="12"/>
  <c r="H511" i="12"/>
  <c r="H512" i="12"/>
  <c r="H513" i="12"/>
  <c r="H514" i="12"/>
  <c r="H505" i="12"/>
  <c r="H506" i="12"/>
  <c r="H507" i="12"/>
  <c r="H502" i="12"/>
  <c r="H503" i="12"/>
  <c r="H494" i="12"/>
  <c r="H495" i="12"/>
  <c r="J495" i="12" s="1"/>
  <c r="H496" i="12"/>
  <c r="H497" i="12"/>
  <c r="H498" i="12"/>
  <c r="H499" i="12"/>
  <c r="H500" i="12"/>
  <c r="H488" i="12"/>
  <c r="H489" i="12"/>
  <c r="H490" i="12"/>
  <c r="H491" i="12"/>
  <c r="H482" i="12"/>
  <c r="H483" i="12"/>
  <c r="H484" i="12"/>
  <c r="H485" i="12"/>
  <c r="H486" i="12"/>
  <c r="H466" i="12"/>
  <c r="H467" i="12"/>
  <c r="H475" i="12"/>
  <c r="H468" i="12"/>
  <c r="H476" i="12"/>
  <c r="H470" i="12"/>
  <c r="H478" i="12"/>
  <c r="J478" i="12" s="1"/>
  <c r="H469" i="12"/>
  <c r="H477" i="12"/>
  <c r="H472" i="12"/>
  <c r="H471" i="12"/>
  <c r="J471" i="12" s="1"/>
  <c r="H479" i="12"/>
  <c r="H473" i="12"/>
  <c r="H474" i="12"/>
  <c r="H463" i="12"/>
  <c r="H464" i="12"/>
  <c r="H453" i="12"/>
  <c r="H454" i="12"/>
  <c r="H461" i="12"/>
  <c r="H455" i="12"/>
  <c r="H460" i="12"/>
  <c r="H456" i="12"/>
  <c r="H457" i="12"/>
  <c r="H458" i="12"/>
  <c r="H459" i="12"/>
  <c r="H443" i="12"/>
  <c r="H444" i="12"/>
  <c r="H451" i="12"/>
  <c r="H445" i="12"/>
  <c r="H448" i="12"/>
  <c r="H450" i="12"/>
  <c r="H446" i="12"/>
  <c r="H447" i="12"/>
  <c r="H449" i="12"/>
  <c r="H427" i="12"/>
  <c r="H429" i="12"/>
  <c r="H437" i="12"/>
  <c r="J437" i="12" s="1"/>
  <c r="H430" i="12"/>
  <c r="H438" i="12"/>
  <c r="J438" i="12" s="1"/>
  <c r="H431" i="12"/>
  <c r="J431" i="12" s="1"/>
  <c r="H439" i="12"/>
  <c r="H432" i="12"/>
  <c r="J432" i="12" s="1"/>
  <c r="H440" i="12"/>
  <c r="H433" i="12"/>
  <c r="H441" i="12"/>
  <c r="H434" i="12"/>
  <c r="J434" i="12" s="1"/>
  <c r="H435" i="12"/>
  <c r="J435" i="12" s="1"/>
  <c r="H428" i="12"/>
  <c r="H436" i="12"/>
  <c r="H422" i="12"/>
  <c r="J422" i="12" s="1"/>
  <c r="H423" i="12"/>
  <c r="H424" i="12"/>
  <c r="J424" i="12" s="1"/>
  <c r="H425" i="12"/>
  <c r="J425" i="12" s="1"/>
  <c r="H417" i="12"/>
  <c r="H419" i="12"/>
  <c r="H418" i="12"/>
  <c r="H411" i="12"/>
  <c r="H412" i="12"/>
  <c r="H413" i="12"/>
  <c r="H414" i="12"/>
  <c r="H415" i="12"/>
  <c r="H402" i="12"/>
  <c r="H403" i="12"/>
  <c r="J403" i="12" s="1"/>
  <c r="H404" i="12"/>
  <c r="J404" i="12" s="1"/>
  <c r="H405" i="12"/>
  <c r="J405" i="12" s="1"/>
  <c r="H406" i="12"/>
  <c r="J406" i="12" s="1"/>
  <c r="H409" i="12"/>
  <c r="J409" i="12" s="1"/>
  <c r="H407" i="12"/>
  <c r="J407" i="12" s="1"/>
  <c r="H408" i="12"/>
  <c r="H399" i="12"/>
  <c r="J399" i="12" s="1"/>
  <c r="H400" i="12"/>
  <c r="J400" i="12" s="1"/>
  <c r="H396" i="12"/>
  <c r="H397" i="12"/>
  <c r="H381" i="12"/>
  <c r="J381" i="12" s="1"/>
  <c r="H382" i="12"/>
  <c r="H390" i="12"/>
  <c r="H383" i="12"/>
  <c r="H391" i="12"/>
  <c r="H384" i="12"/>
  <c r="J384" i="12" s="1"/>
  <c r="H392" i="12"/>
  <c r="H385" i="12"/>
  <c r="J385" i="12" s="1"/>
  <c r="H393" i="12"/>
  <c r="H386" i="12"/>
  <c r="H389" i="12"/>
  <c r="H387" i="12"/>
  <c r="H388" i="12"/>
  <c r="J388" i="12" s="1"/>
  <c r="H346" i="12"/>
  <c r="H347" i="12"/>
  <c r="H355" i="12"/>
  <c r="H363" i="12"/>
  <c r="H371" i="12"/>
  <c r="J371" i="12" s="1"/>
  <c r="H379" i="12"/>
  <c r="H348" i="12"/>
  <c r="H356" i="12"/>
  <c r="H364" i="12"/>
  <c r="J364" i="12" s="1"/>
  <c r="H372" i="12"/>
  <c r="H349" i="12"/>
  <c r="H357" i="12"/>
  <c r="J357" i="12" s="1"/>
  <c r="H365" i="12"/>
  <c r="J365" i="12" s="1"/>
  <c r="H373" i="12"/>
  <c r="H350" i="12"/>
  <c r="H366" i="12"/>
  <c r="H374" i="12"/>
  <c r="H358" i="12"/>
  <c r="H354" i="12"/>
  <c r="J354" i="12" s="1"/>
  <c r="H362" i="12"/>
  <c r="H370" i="12"/>
  <c r="H378" i="12"/>
  <c r="H351" i="12"/>
  <c r="H359" i="12"/>
  <c r="H367" i="12"/>
  <c r="H375" i="12"/>
  <c r="H352" i="12"/>
  <c r="H360" i="12"/>
  <c r="H368" i="12"/>
  <c r="H376" i="12"/>
  <c r="H353" i="12"/>
  <c r="H361" i="12"/>
  <c r="H369" i="12"/>
  <c r="H377" i="12"/>
  <c r="H342" i="12"/>
  <c r="H343" i="12"/>
  <c r="J343" i="12" s="1"/>
  <c r="H344" i="12"/>
  <c r="H312" i="12"/>
  <c r="H313" i="12"/>
  <c r="H321" i="12"/>
  <c r="H329" i="12"/>
  <c r="H337" i="12"/>
  <c r="H314" i="12"/>
  <c r="H322" i="12"/>
  <c r="H330" i="12"/>
  <c r="H338" i="12"/>
  <c r="H320" i="12"/>
  <c r="H328" i="12"/>
  <c r="H336" i="12"/>
  <c r="H315" i="12"/>
  <c r="H323" i="12"/>
  <c r="H331" i="12"/>
  <c r="H339" i="12"/>
  <c r="H316" i="12"/>
  <c r="H324" i="12"/>
  <c r="H332" i="12"/>
  <c r="H340" i="12"/>
  <c r="H317" i="12"/>
  <c r="H325" i="12"/>
  <c r="H333" i="12"/>
  <c r="H318" i="12"/>
  <c r="H326" i="12"/>
  <c r="H334" i="12"/>
  <c r="J334" i="12" s="1"/>
  <c r="H319" i="12"/>
  <c r="H327" i="12"/>
  <c r="H335" i="12"/>
  <c r="H308" i="12"/>
  <c r="H309" i="12"/>
  <c r="H302" i="12"/>
  <c r="H303" i="12"/>
  <c r="H304" i="12"/>
  <c r="H305" i="12"/>
  <c r="H306" i="12"/>
  <c r="J306" i="12" s="1"/>
  <c r="H298" i="12"/>
  <c r="J297" i="12" s="1"/>
  <c r="H301" i="12"/>
  <c r="H291" i="12"/>
  <c r="H292" i="12"/>
  <c r="H293" i="12"/>
  <c r="H294" i="12"/>
  <c r="H295" i="12"/>
  <c r="H296" i="12"/>
  <c r="H249" i="12"/>
  <c r="H257" i="12"/>
  <c r="H265" i="12"/>
  <c r="H273" i="12"/>
  <c r="H281" i="12"/>
  <c r="H289" i="12"/>
  <c r="H250" i="12"/>
  <c r="H258" i="12"/>
  <c r="H266" i="12"/>
  <c r="J266" i="12" s="1"/>
  <c r="H274" i="12"/>
  <c r="H282" i="12"/>
  <c r="H251" i="12"/>
  <c r="H259" i="12"/>
  <c r="J259" i="12" s="1"/>
  <c r="H267" i="12"/>
  <c r="H275" i="12"/>
  <c r="H283" i="12"/>
  <c r="H253" i="12"/>
  <c r="H261" i="12"/>
  <c r="H269" i="12"/>
  <c r="H277" i="12"/>
  <c r="H285" i="12"/>
  <c r="H252" i="12"/>
  <c r="H260" i="12"/>
  <c r="H268" i="12"/>
  <c r="J268" i="12" s="1"/>
  <c r="H276" i="12"/>
  <c r="H284" i="12"/>
  <c r="H254" i="12"/>
  <c r="H262" i="12"/>
  <c r="H270" i="12"/>
  <c r="H278" i="12"/>
  <c r="H286" i="12"/>
  <c r="H256" i="12"/>
  <c r="J256" i="12" s="1"/>
  <c r="H264" i="12"/>
  <c r="J264" i="12" s="1"/>
  <c r="H272" i="12"/>
  <c r="H280" i="12"/>
  <c r="H288" i="12"/>
  <c r="H255" i="12"/>
  <c r="H263" i="12"/>
  <c r="J263" i="12" s="1"/>
  <c r="H271" i="12"/>
  <c r="J271" i="12" s="1"/>
  <c r="H279" i="12"/>
  <c r="H287" i="12"/>
  <c r="H248" i="12"/>
  <c r="H245" i="12"/>
  <c r="H242" i="12"/>
  <c r="J241" i="12" s="1"/>
  <c r="J240" i="12" s="1"/>
  <c r="H244" i="12"/>
  <c r="H238" i="12"/>
  <c r="H239" i="12"/>
  <c r="H231" i="12"/>
  <c r="H232" i="12"/>
  <c r="H233" i="12"/>
  <c r="H234" i="12"/>
  <c r="H235" i="12"/>
  <c r="H236" i="12"/>
  <c r="H222" i="12"/>
  <c r="H223" i="12"/>
  <c r="H224" i="12"/>
  <c r="H225" i="12"/>
  <c r="H226" i="12"/>
  <c r="H227" i="12"/>
  <c r="H228" i="12"/>
  <c r="H210" i="12"/>
  <c r="H218" i="12"/>
  <c r="H211" i="12"/>
  <c r="H219" i="12"/>
  <c r="H212" i="12"/>
  <c r="H220" i="12"/>
  <c r="H213" i="12"/>
  <c r="H217" i="12"/>
  <c r="H214" i="12"/>
  <c r="H216" i="12"/>
  <c r="H215" i="12"/>
  <c r="H206" i="12"/>
  <c r="H209" i="12"/>
  <c r="H203" i="12"/>
  <c r="H205" i="12"/>
  <c r="H192" i="12"/>
  <c r="H193" i="12"/>
  <c r="H201" i="12"/>
  <c r="H194" i="12"/>
  <c r="H202" i="12"/>
  <c r="H195" i="12"/>
  <c r="H199" i="12"/>
  <c r="H200" i="12"/>
  <c r="H196" i="12"/>
  <c r="H197" i="12"/>
  <c r="H198" i="12"/>
  <c r="H188" i="12"/>
  <c r="H189" i="12"/>
  <c r="H181" i="12"/>
  <c r="H182" i="12"/>
  <c r="H183" i="12"/>
  <c r="H184" i="12"/>
  <c r="H186" i="12"/>
  <c r="H185" i="12"/>
  <c r="H174" i="12"/>
  <c r="H175" i="12"/>
  <c r="H176" i="12"/>
  <c r="H177" i="12"/>
  <c r="H178" i="12"/>
  <c r="H179" i="12"/>
  <c r="H171" i="12"/>
  <c r="J171" i="12" s="1"/>
  <c r="J170" i="12" s="1"/>
  <c r="H173" i="12"/>
  <c r="H155" i="12"/>
  <c r="H156" i="12"/>
  <c r="J156" i="12" s="1"/>
  <c r="H164" i="12"/>
  <c r="J164" i="12" s="1"/>
  <c r="H157" i="12"/>
  <c r="H165" i="12"/>
  <c r="J165" i="12" s="1"/>
  <c r="H158" i="12"/>
  <c r="J158" i="12" s="1"/>
  <c r="H166" i="12"/>
  <c r="H159" i="12"/>
  <c r="H167" i="12"/>
  <c r="H160" i="12"/>
  <c r="H168" i="12"/>
  <c r="H163" i="12"/>
  <c r="J163" i="12" s="1"/>
  <c r="H161" i="12"/>
  <c r="H169" i="12"/>
  <c r="H162" i="12"/>
  <c r="J162" i="12" s="1"/>
  <c r="H149" i="12"/>
  <c r="H150" i="12"/>
  <c r="H151" i="12"/>
  <c r="H152" i="12"/>
  <c r="H153" i="12"/>
  <c r="H145" i="12"/>
  <c r="H146" i="12"/>
  <c r="H147" i="12"/>
  <c r="H137" i="12"/>
  <c r="J137" i="12" s="1"/>
  <c r="H138" i="12"/>
  <c r="J138" i="12" s="1"/>
  <c r="H139" i="12"/>
  <c r="H140" i="12"/>
  <c r="H141" i="12"/>
  <c r="J141" i="12" s="1"/>
  <c r="H142" i="12"/>
  <c r="H143" i="12"/>
  <c r="J143" i="12" s="1"/>
  <c r="H133" i="12"/>
  <c r="H134" i="12"/>
  <c r="H130" i="12"/>
  <c r="J129" i="12" s="1"/>
  <c r="H132" i="12"/>
  <c r="H125" i="12"/>
  <c r="H126" i="12"/>
  <c r="H127" i="12"/>
  <c r="H128" i="12"/>
  <c r="H122" i="12"/>
  <c r="J121" i="12" s="1"/>
  <c r="H124" i="12"/>
  <c r="H116" i="12"/>
  <c r="H117" i="12"/>
  <c r="H118" i="12"/>
  <c r="H119" i="12"/>
  <c r="H112" i="12"/>
  <c r="H113" i="12"/>
  <c r="H114" i="12"/>
  <c r="H108" i="12"/>
  <c r="J107" i="12" s="1"/>
  <c r="H111" i="12"/>
  <c r="H101" i="12"/>
  <c r="H102" i="12"/>
  <c r="H103" i="12"/>
  <c r="H104" i="12"/>
  <c r="H105" i="12"/>
  <c r="H106" i="12"/>
  <c r="H97" i="12"/>
  <c r="H98" i="12"/>
  <c r="H99" i="12"/>
  <c r="J99" i="12" s="1"/>
  <c r="H94" i="12"/>
  <c r="J93" i="12" s="1"/>
  <c r="H96" i="12"/>
  <c r="H88" i="12"/>
  <c r="H89" i="12"/>
  <c r="H90" i="12"/>
  <c r="H91" i="12"/>
  <c r="H92" i="12"/>
  <c r="H82" i="12"/>
  <c r="H83" i="12"/>
  <c r="H84" i="12"/>
  <c r="H85" i="12"/>
  <c r="H86" i="12"/>
  <c r="H76" i="12"/>
  <c r="H77" i="12"/>
  <c r="H78" i="12"/>
  <c r="H79" i="12"/>
  <c r="H70" i="12"/>
  <c r="H71" i="12"/>
  <c r="H72" i="12"/>
  <c r="H73" i="12"/>
  <c r="H74" i="12"/>
  <c r="H60" i="12"/>
  <c r="H61" i="12"/>
  <c r="H62" i="12"/>
  <c r="H63" i="12"/>
  <c r="J63" i="12" s="1"/>
  <c r="H64" i="12"/>
  <c r="H65" i="12"/>
  <c r="H67" i="12"/>
  <c r="H66" i="12"/>
  <c r="H68" i="12"/>
  <c r="H51" i="12"/>
  <c r="H52" i="12"/>
  <c r="H53" i="12"/>
  <c r="H54" i="12"/>
  <c r="H55" i="12"/>
  <c r="H56" i="12"/>
  <c r="H58" i="12"/>
  <c r="H57" i="12"/>
  <c r="H42" i="12"/>
  <c r="H43" i="12"/>
  <c r="H44" i="12"/>
  <c r="H45" i="12"/>
  <c r="H46" i="12"/>
  <c r="H47" i="12"/>
  <c r="H48" i="12"/>
  <c r="H49" i="12"/>
  <c r="H37" i="12"/>
  <c r="H38" i="12"/>
  <c r="H39" i="12"/>
  <c r="J39" i="12" s="1"/>
  <c r="H33" i="12"/>
  <c r="H34" i="12"/>
  <c r="H35" i="12"/>
  <c r="H27" i="12"/>
  <c r="H28" i="12"/>
  <c r="H29" i="12"/>
  <c r="H30" i="12"/>
  <c r="H31" i="12"/>
  <c r="H17" i="12"/>
  <c r="H18" i="12"/>
  <c r="J18" i="12" s="1"/>
  <c r="H23" i="12"/>
  <c r="H19" i="12"/>
  <c r="J19" i="12" s="1"/>
  <c r="H20" i="12"/>
  <c r="H21" i="12"/>
  <c r="H22" i="12"/>
  <c r="H24" i="12"/>
  <c r="A36" i="14"/>
  <c r="C35" i="14"/>
  <c r="C29" i="14"/>
  <c r="A30" i="14"/>
  <c r="A49" i="14"/>
  <c r="C49" i="14" s="1"/>
  <c r="C48" i="14"/>
  <c r="C22" i="14"/>
  <c r="A23" i="14"/>
  <c r="J547" i="12" l="1"/>
  <c r="E35" i="15" s="1"/>
  <c r="J537" i="12"/>
  <c r="E34" i="15" s="1"/>
  <c r="J521" i="12"/>
  <c r="E33" i="15" s="1"/>
  <c r="J518" i="12"/>
  <c r="E32" i="15" s="1"/>
  <c r="J515" i="12"/>
  <c r="J508" i="12"/>
  <c r="J504" i="12"/>
  <c r="J501" i="12"/>
  <c r="J493" i="12"/>
  <c r="J487" i="12"/>
  <c r="J481" i="12"/>
  <c r="J462" i="12"/>
  <c r="J465" i="12"/>
  <c r="J452" i="12"/>
  <c r="J442" i="12"/>
  <c r="J426" i="12"/>
  <c r="J421" i="12"/>
  <c r="J401" i="12"/>
  <c r="J410" i="12"/>
  <c r="J416" i="12"/>
  <c r="J398" i="12"/>
  <c r="J395" i="12"/>
  <c r="J380" i="12"/>
  <c r="E27" i="15" s="1"/>
  <c r="J345" i="12"/>
  <c r="E26" i="15" s="1"/>
  <c r="J341" i="12"/>
  <c r="J311" i="12"/>
  <c r="J307" i="12"/>
  <c r="J300" i="12"/>
  <c r="J290" i="12"/>
  <c r="J247" i="12"/>
  <c r="J243" i="12"/>
  <c r="J237" i="12"/>
  <c r="J230" i="12"/>
  <c r="J221" i="12"/>
  <c r="J208" i="12"/>
  <c r="J204" i="12"/>
  <c r="J191" i="12"/>
  <c r="J187" i="12"/>
  <c r="E19" i="15" s="1"/>
  <c r="J180" i="12"/>
  <c r="E18" i="15" s="1"/>
  <c r="J172" i="12"/>
  <c r="J154" i="12"/>
  <c r="J148" i="12"/>
  <c r="J144" i="12"/>
  <c r="J136" i="12"/>
  <c r="J131" i="12"/>
  <c r="J123" i="12"/>
  <c r="J115" i="12"/>
  <c r="J110" i="12"/>
  <c r="J100" i="12"/>
  <c r="J95" i="12"/>
  <c r="J81" i="12"/>
  <c r="J87" i="12"/>
  <c r="J75" i="12"/>
  <c r="J69" i="12"/>
  <c r="J59" i="12"/>
  <c r="J50" i="12"/>
  <c r="J41" i="12"/>
  <c r="J36" i="12"/>
  <c r="J32" i="12"/>
  <c r="J26" i="12"/>
  <c r="J15" i="12"/>
  <c r="L18" i="12" s="1"/>
  <c r="C23" i="14"/>
  <c r="A24" i="14"/>
  <c r="A37" i="14"/>
  <c r="C37" i="14" s="1"/>
  <c r="C36" i="14"/>
  <c r="C30" i="14"/>
  <c r="A31" i="14"/>
  <c r="C31" i="14" s="1"/>
  <c r="E12" i="15" l="1"/>
  <c r="J492" i="12"/>
  <c r="E31" i="15" s="1"/>
  <c r="J480" i="12"/>
  <c r="E30" i="15" s="1"/>
  <c r="J420" i="12"/>
  <c r="E29" i="15" s="1"/>
  <c r="J310" i="12"/>
  <c r="E25" i="15" s="1"/>
  <c r="J394" i="12"/>
  <c r="E28" i="15" s="1"/>
  <c r="J299" i="12"/>
  <c r="E24" i="15" s="1"/>
  <c r="J246" i="12"/>
  <c r="E23" i="15" s="1"/>
  <c r="J190" i="12"/>
  <c r="E20" i="15" s="1"/>
  <c r="J229" i="12"/>
  <c r="E22" i="15" s="1"/>
  <c r="J207" i="12"/>
  <c r="E21" i="15" s="1"/>
  <c r="J135" i="12"/>
  <c r="E17" i="15" s="1"/>
  <c r="J120" i="12"/>
  <c r="E16" i="15" s="1"/>
  <c r="J109" i="12"/>
  <c r="J80" i="12" s="1"/>
  <c r="E15" i="15" s="1"/>
  <c r="J40" i="12"/>
  <c r="E14" i="15" s="1"/>
  <c r="J25" i="12"/>
  <c r="E13" i="15" s="1"/>
  <c r="X64" i="14"/>
  <c r="X104" i="14"/>
  <c r="Z29" i="14"/>
  <c r="Z62" i="14"/>
  <c r="Y102" i="14"/>
  <c r="X69" i="14"/>
  <c r="Y61" i="14"/>
  <c r="C24" i="14"/>
  <c r="Z103" i="14" s="1"/>
  <c r="A25" i="14"/>
  <c r="C25" i="14" s="1"/>
  <c r="X21" i="14" s="1"/>
  <c r="Y21" i="14"/>
  <c r="Z25" i="14"/>
  <c r="Y23" i="14"/>
  <c r="X65" i="14"/>
  <c r="Z23" i="14"/>
  <c r="Y101" i="14"/>
  <c r="X61" i="14"/>
  <c r="Y69" i="14"/>
  <c r="S37" i="15" l="1"/>
  <c r="Q37" i="15"/>
  <c r="W37" i="15"/>
  <c r="U37" i="15"/>
  <c r="O37" i="15"/>
  <c r="M37" i="15"/>
  <c r="K37" i="15"/>
  <c r="I37" i="15"/>
  <c r="G37" i="15"/>
  <c r="E37" i="15"/>
  <c r="J552" i="12"/>
  <c r="X22" i="14"/>
  <c r="X24" i="14"/>
  <c r="Y25" i="14"/>
  <c r="X63" i="14"/>
  <c r="Z63" i="14"/>
  <c r="X102" i="14"/>
  <c r="Y105" i="14"/>
  <c r="Z65" i="14"/>
  <c r="U69" i="14"/>
  <c r="Z102" i="14"/>
  <c r="X25" i="14"/>
  <c r="Z104" i="14"/>
  <c r="Y104" i="14"/>
  <c r="Z24" i="14"/>
  <c r="Z64" i="14"/>
  <c r="Y24" i="14"/>
  <c r="X29" i="14"/>
  <c r="U29" i="14" s="1"/>
  <c r="Z21" i="14"/>
  <c r="Z105" i="14"/>
  <c r="Z61" i="14"/>
  <c r="Z69" i="14"/>
  <c r="Y63" i="14"/>
  <c r="X23" i="14"/>
  <c r="Y62" i="14"/>
  <c r="X103" i="14"/>
  <c r="Y65" i="14"/>
  <c r="Z22" i="14"/>
  <c r="Y103" i="14"/>
  <c r="Y29" i="14"/>
  <c r="X105" i="14"/>
  <c r="X62" i="14"/>
  <c r="Y109" i="14"/>
  <c r="Y64" i="14"/>
  <c r="Z101" i="14"/>
  <c r="X109" i="14"/>
  <c r="Y22" i="14"/>
  <c r="Z109" i="14"/>
  <c r="X101" i="14"/>
  <c r="H37" i="15" l="1"/>
  <c r="H36" i="15" s="1"/>
  <c r="W36" i="15"/>
  <c r="Y36" i="15"/>
  <c r="U36" i="15"/>
  <c r="S36" i="15"/>
  <c r="F25" i="15"/>
  <c r="Q36" i="15"/>
  <c r="O36" i="15"/>
  <c r="K36" i="15"/>
  <c r="I36" i="15"/>
  <c r="F12" i="15"/>
  <c r="F18" i="15"/>
  <c r="F27" i="15"/>
  <c r="F32" i="15"/>
  <c r="F33" i="15"/>
  <c r="F34" i="15"/>
  <c r="F19" i="15"/>
  <c r="F35" i="15"/>
  <c r="F26" i="15"/>
  <c r="F17" i="15"/>
  <c r="F29" i="15"/>
  <c r="F16" i="15"/>
  <c r="F15" i="15"/>
  <c r="F30" i="15"/>
  <c r="F24" i="15"/>
  <c r="F28" i="15"/>
  <c r="F21" i="15"/>
  <c r="F23" i="15"/>
  <c r="F20" i="15"/>
  <c r="F22" i="15"/>
  <c r="F31" i="15"/>
  <c r="F14" i="15"/>
  <c r="F13" i="15"/>
  <c r="G36" i="15"/>
  <c r="K32" i="14"/>
  <c r="J32" i="14"/>
  <c r="K72" i="14"/>
  <c r="J72" i="14"/>
  <c r="U109" i="14"/>
  <c r="J37" i="15" l="1"/>
  <c r="J36" i="15" s="1"/>
  <c r="F36" i="15"/>
  <c r="G39" i="15"/>
  <c r="H39" i="15" s="1"/>
  <c r="I38" i="15"/>
  <c r="K38" i="15" s="1"/>
  <c r="M38" i="15" s="1"/>
  <c r="G38" i="15"/>
  <c r="H38" i="15" s="1"/>
  <c r="I39" i="15"/>
  <c r="K39" i="15" s="1"/>
  <c r="K112" i="14"/>
  <c r="J112" i="14"/>
  <c r="L37" i="15" l="1"/>
  <c r="L36" i="15" s="1"/>
  <c r="M36" i="15"/>
  <c r="J38" i="15"/>
  <c r="L38" i="15" s="1"/>
  <c r="N38" i="15" s="1"/>
  <c r="J39" i="15"/>
  <c r="L39" i="15" s="1"/>
  <c r="M39" i="15"/>
  <c r="P125" i="14"/>
  <c r="P45" i="14"/>
  <c r="P85" i="14"/>
  <c r="N37" i="15" l="1"/>
  <c r="N36" i="15" s="1"/>
  <c r="N39" i="15"/>
  <c r="P37" i="15" l="1"/>
  <c r="R37" i="15" s="1"/>
  <c r="P36" i="15" l="1"/>
  <c r="R36" i="15"/>
  <c r="T37" i="15"/>
  <c r="V37" i="15" l="1"/>
  <c r="T36" i="15"/>
  <c r="X37" i="15" l="1"/>
  <c r="V36" i="15"/>
  <c r="Z37" i="15" l="1"/>
  <c r="Z36" i="15" s="1"/>
  <c r="X3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6" authorId="0" shapeId="0" xr:uid="{6151EA07-5CED-4D35-A89D-3A32ED15557F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sharedStrings.xml><?xml version="1.0" encoding="utf-8"?>
<sst xmlns="http://schemas.openxmlformats.org/spreadsheetml/2006/main" count="2923" uniqueCount="1708">
  <si>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</si>
  <si>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</si>
  <si>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</si>
  <si>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</si>
  <si>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</si>
  <si>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</si>
  <si>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</si>
  <si>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</si>
  <si>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</si>
  <si>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SERVIÇOS PRELIMINARES</t>
  </si>
  <si>
    <t>1.1</t>
  </si>
  <si>
    <t>FORNECIMENTO E INSTALAÇÃO DE PLACA DE OBRA COM CHAPA GALVANIZADA E ESTRUTURA DE MADEIRA. AF_03/2022_PS</t>
  </si>
  <si>
    <t>SINAPI</t>
  </si>
  <si>
    <t>M2</t>
  </si>
  <si>
    <t>1.2</t>
  </si>
  <si>
    <t>TAPUME COM TELHA METÁLICA. AF_03/2024</t>
  </si>
  <si>
    <t>1.3</t>
  </si>
  <si>
    <t>ENTRADA DE ENERGIA ELÉTRICA, AÉREA, TRIFÁSICA, COM CAIXA DE EMBUTIR, CABO DE 10 MM2 E DISJUNTOR DIN 50A (NÃO INCLUSO O POSTE DE CONCRETO). AF_07/2020_PS</t>
  </si>
  <si>
    <t>UN</t>
  </si>
  <si>
    <t>1.4</t>
  </si>
  <si>
    <t>FNDE 03</t>
  </si>
  <si>
    <t>LIGAÇÃO PROVISÓRIA DE ÁGUA E ESGOTO</t>
  </si>
  <si>
    <t>PRÓPRIA</t>
  </si>
  <si>
    <t>1.5</t>
  </si>
  <si>
    <t>LOCAÇÃO CONVENCIONAL DE OBRA, UTILIZANDO GABARITO DE TÁBUAS CORRIDAS PONTALETADAS A CADA 2,00M -  2 UTILIZAÇÕES. AF_03/2024</t>
  </si>
  <si>
    <t>M</t>
  </si>
  <si>
    <t>1.6</t>
  </si>
  <si>
    <t>FNDE 231</t>
  </si>
  <si>
    <t>LOCACAO DE CONTAINER 2,30 X 6,00 M, ALT. 2,50 M, COM 1 SANITARIO, PARA ESCRITORIO, COMPLETO, SEM DIVISORIAS INTERNAS (NAO INCLUI MOBILIZACAO/DESMOBILIZACAO)</t>
  </si>
  <si>
    <t>MÊS</t>
  </si>
  <si>
    <t>1.7</t>
  </si>
  <si>
    <t>FNDE 230</t>
  </si>
  <si>
    <t>LOCACAO DE CONTAINER 2,30 X 6,00 M, ALT. 2,50 M, PARA ESCRITORIO, SEM DIVISORIAS INTERNAS E SEM SANITARIO (NAO INCLUI MOBILIZACAO/DESMOBILIZACAO)</t>
  </si>
  <si>
    <t>1.8</t>
  </si>
  <si>
    <t>FNDE 232</t>
  </si>
  <si>
    <t>LOCACAO DE CONTAINER 2,30 X 6,00 M, ALT. 2,50 M, PARA SANITARIO, COM 4 BACIAS, 8 CHUVEIROS,1 LAVATORIO E 1 MICTORIO (NAO INCLUI MOBILIZACAO/DESMOBILIZACAO)</t>
  </si>
  <si>
    <t>1.9</t>
  </si>
  <si>
    <t>FNDE 392</t>
  </si>
  <si>
    <t>ADMINISTRAÇÃO LOCAL TIPO 2</t>
  </si>
  <si>
    <t>MOVIMENTO DE TERRA PARA FUNDAÇÕES</t>
  </si>
  <si>
    <t>2.1</t>
  </si>
  <si>
    <t>EDIFICAÇÃO</t>
  </si>
  <si>
    <t>2.1.1</t>
  </si>
  <si>
    <t>LIMPEZA MECANIZADA DE CAMADA VEGETAL, VEGETAÇÃO E PEQUENAS ÁRVORES (DIÂMETRO DE TRONCO MENOR QUE 0,20 M), COM TRATOR DE ESTEIRAS. AF_03/2024</t>
  </si>
  <si>
    <t>2.1.2</t>
  </si>
  <si>
    <t>ATERRO MECANIZADO DE VALA COM ESCAVADEIRA HIDRÁULICA (CAPACIDADE DA CAÇAMBA: 0,8 M³ / POTÊNCIA: 111 HP), LARGURA ATÉ 2,5 M, PROFUNDIDADE DE 1,5 A 3,0 M, COM SOLO ARGILO-ARENOSO. AF_08/2023</t>
  </si>
  <si>
    <t>M3</t>
  </si>
  <si>
    <t>2.1.3</t>
  </si>
  <si>
    <t>ESCAVAÇÃO MANUAL PARA BLOCO DE COROAMENTO OU SAPATA (INCLUINDO ESCAVAÇÃO PARA COLOCAÇÃO DE FÔRMAS). AF_01/2024</t>
  </si>
  <si>
    <t>2.1.4</t>
  </si>
  <si>
    <t>PREPARO DE FUNDO DE VALA COM LARGURA MAIOR OU IGUAL A 1,5 M E MENOR QUE 2,5 M (ACERTO DO SOLO NATURAL). AF_08/2020</t>
  </si>
  <si>
    <t>2.1.5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</si>
  <si>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</si>
  <si>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2.2</t>
  </si>
  <si>
    <t>MURETA ABRIGO DE GÁS</t>
  </si>
  <si>
    <t>2.2.1</t>
  </si>
  <si>
    <t>2.2.2</t>
  </si>
  <si>
    <t>2.2.3</t>
  </si>
  <si>
    <t>2.3</t>
  </si>
  <si>
    <t>CASTELO D'ÁGUA</t>
  </si>
  <si>
    <t>2.3.1</t>
  </si>
  <si>
    <t>2.3.2</t>
  </si>
  <si>
    <t>2.3.3</t>
  </si>
  <si>
    <t>FUNDAÇÕES</t>
  </si>
  <si>
    <t>3.1</t>
  </si>
  <si>
    <t>CONCRETO ARMADO PARA SAPATAS</t>
  </si>
  <si>
    <t>3.1.1</t>
  </si>
  <si>
    <t>LASTRO DE CONCRETO MAGRO, APLICADO EM BLOCOS DE COROAMENTO OU SAPATAS, ESPESSURA DE 5 CM. AF_01/2024</t>
  </si>
  <si>
    <t>3.1.2</t>
  </si>
  <si>
    <t>FABRICAÇÃO, MONTAGEM E DESMONTAGEM DE FÔRMA PARA BLOCO DE COROAMENTO, EM MADEIRA SERRADA, E=25 MM, 4 UTILIZAÇÕES. AF_01/2024</t>
  </si>
  <si>
    <t>3.1.3</t>
  </si>
  <si>
    <t>ARMAÇÃO DE SAPATA ISOLADA, VIGA BALDRAME E SAPATA CORRIDA UTILIZANDO AÇO CA-50 DE 6,3 MM - MONTAGEM. AF_01/2024</t>
  </si>
  <si>
    <t>KG</t>
  </si>
  <si>
    <t>3.1.4</t>
  </si>
  <si>
    <t>ARMAÇÃO DE SAPATA ISOLADA, VIGA BALDRAME E SAPATA CORRIDA UTILIZANDO AÇO CA-50 DE 8 MM - MONTAGEM. AF_01/2024</t>
  </si>
  <si>
    <t>3.1.5</t>
  </si>
  <si>
    <t>ARMAÇÃO DE SAPATA ISOLADA, VIGA BALDRAME E SAPATA CORRIDA UTILIZANDO AÇO CA-50 DE 10 MM - MONTAGEM. AF_01/2024</t>
  </si>
  <si>
    <t>3.1.6</t>
  </si>
  <si>
    <t>ARMAÇÃO DE BLOCO, SAPATA ISOLADA, VIGA BALDRAME E SAPATA CORRIDA UTILIZANDO AÇO CA-50 DE 12,5 MM - MONTAGEM. AF_01/2024</t>
  </si>
  <si>
    <t>3.1.7</t>
  </si>
  <si>
    <t>ARMAÇÃO DE ESTRUTURAS DIVERSAS DE CONCRETO ARMADO, EXCETO VIGAS, PILARES, LAJES E FUNDAÇÕES, UTILIZANDO AÇO CA-60 DE 5,0 MM - MONTAGEM. AF_06/2022</t>
  </si>
  <si>
    <t>3.1.8</t>
  </si>
  <si>
    <t>CONCRETAGEM DE SAPATA, FCK 30 MPA, COM USO DE BOMBA - LANÇAMENTO, ADENSAMENTO E ACABAMENTO. AF_01/2024</t>
  </si>
  <si>
    <t>3.2</t>
  </si>
  <si>
    <t>CONCRETO ARMADO PARA VIGA BALDRAME</t>
  </si>
  <si>
    <t>3.2.1</t>
  </si>
  <si>
    <t>3.2.2</t>
  </si>
  <si>
    <t>LASTRO DE CONCRETO MAGRO, APLICADO EM BLOCOS DE COROAMENTO OU SAPATAS. AF_01/2024</t>
  </si>
  <si>
    <t>3.2.3</t>
  </si>
  <si>
    <t>3.2.4</t>
  </si>
  <si>
    <t>3.2.5</t>
  </si>
  <si>
    <t>3.2.6</t>
  </si>
  <si>
    <t>3.2.7</t>
  </si>
  <si>
    <t>ARMAÇÃO DE BLOCO UTILIZANDO AÇO CA-60 DE 5 MM - MONTAGEM. AF_01/2024</t>
  </si>
  <si>
    <t>3.2.8</t>
  </si>
  <si>
    <t>CONCRETAGEM DE BLOCO DE COROAMENTO OU VIGA BALDRAME, FCK 30 MPA, COM USO DE BOMBA - LANÇAMENTO, ADENSAMENTO E ACABAMENTO. AF_01/2024</t>
  </si>
  <si>
    <t>3.3</t>
  </si>
  <si>
    <t>FUNDAÇÃO CASTELO D'ÁGUA</t>
  </si>
  <si>
    <t>3.3.1</t>
  </si>
  <si>
    <t>ESTACA ESCAVADA MECANICAMENTE, SEM FLUIDO ESTABILIZANTE, COM 25CM DE DIÂMETRO, CONCRETO LANÇADO POR CAMINHÃO BETONEIRA (EXCLUSIVE MOBILIZAÇÃO E DESMOBILIZAÇÃO). AF_01/2020_PA</t>
  </si>
  <si>
    <t>3.3.2</t>
  </si>
  <si>
    <t>ARRASAMENTO MECANICO DE ESTACA DE CONCRETO ARMADO, DIAMETROS DE ATÉ 40 CM. AF_05/2021</t>
  </si>
  <si>
    <t>3.3.3</t>
  </si>
  <si>
    <t>3.3.4</t>
  </si>
  <si>
    <t>FABRICAÇÃO, MONTAGEM E DESMONTAGEM DE FÔRMA PARA BLOCO DE COROAMENTO, EM CHAPA DE MADEIRA COMPENSADA RESINADA, E=17 MM, 4 UTILIZAÇÕES. AF_01/2024</t>
  </si>
  <si>
    <t>3.3.5</t>
  </si>
  <si>
    <t>ARMAÇÃO DE BLOCO UTILIZANDO AÇO CA-50 DE 10 MM - MONTAGEM. AF_01/2024</t>
  </si>
  <si>
    <t>3.3.6</t>
  </si>
  <si>
    <t>3.3.7</t>
  </si>
  <si>
    <t>ARMAÇÃO DE BLOCO E SAPATA UTILIZANDO AÇO CA-50 DE 25 MM - MONTAGEM. AF_01/2024</t>
  </si>
  <si>
    <t>3.3.8</t>
  </si>
  <si>
    <t>3.3.9</t>
  </si>
  <si>
    <t>3.4</t>
  </si>
  <si>
    <t>ABRIGO DE GÁS - BLOCOS</t>
  </si>
  <si>
    <t>3.4.1</t>
  </si>
  <si>
    <t>3.4.2</t>
  </si>
  <si>
    <t>3.4.3</t>
  </si>
  <si>
    <t>3.4.4</t>
  </si>
  <si>
    <t>ARMAÇÃO DE DESCIDA D'ÁGUA UTILIZANDO AÇO CA-60 DE 5 MM - MONTAGEM. AF_08/2022</t>
  </si>
  <si>
    <t>3.4.5</t>
  </si>
  <si>
    <t>3.5</t>
  </si>
  <si>
    <t>MURETA E ABRIGO DE GÁS - VIGAS BALDRAME</t>
  </si>
  <si>
    <t>3.5.1</t>
  </si>
  <si>
    <t>3.5.2</t>
  </si>
  <si>
    <t>FABRICAÇÃO, MONTAGEM E DESMONTAGEM DE FÔRMA PARA VIGA BALDRAME, EM CHAPA DE MADEIRA COMPENSADA RESINADA, E=17 MM, 4 UTILIZAÇÕES. AF_01/2024</t>
  </si>
  <si>
    <t>3.5.3</t>
  </si>
  <si>
    <t>3.5.4</t>
  </si>
  <si>
    <t>SUPERESTRUTURA</t>
  </si>
  <si>
    <t>4.1</t>
  </si>
  <si>
    <t>CONCRETO ARMADO - PILARES</t>
  </si>
  <si>
    <t>4.1.1</t>
  </si>
  <si>
    <t>MONTAGEM E DESMONTAGEM DE FÔRMA DE PILARES RETANGULARES E ESTRUTURAS SIMILARES, PÉ-DIREITO SIMPLES, EM CHAPA DE MADEIRA COMPENSADA PLASTIFICADA, 18 UTILIZAÇÕES. AF_09/2020</t>
  </si>
  <si>
    <t>4.1.2</t>
  </si>
  <si>
    <t>ARMAÇÃO DE PILAR OU VIGA DE ESTRUTURA CONVENCIONAL DE CONCRETO ARMADO UTILIZANDO AÇO CA-50 DE 10,0 MM - MONTAGEM. AF_06/2022</t>
  </si>
  <si>
    <t>4.1.3</t>
  </si>
  <si>
    <t>ARMAÇÃO DE PILAR OU VIGA DE ESTRUTURA CONVENCIONAL DE CONCRETO ARMADO UTILIZANDO AÇO CA-50 DE 12,5 MM - MONTAGEM. AF_06/2022</t>
  </si>
  <si>
    <t>4.1.4</t>
  </si>
  <si>
    <t>ARMAÇÃO DE PILAR OU VIGA DE ESTRUTURA CONVENCIONAL DE CONCRETO ARMADO UTILIZANDO AÇO CA-60 DE 5,0 MM - MONTAGEM. AF_06/2022</t>
  </si>
  <si>
    <t>4.1.5</t>
  </si>
  <si>
    <t>CONCRETAGEM DE PILARES, FCK = 25 MPA, COM USO DE BOMBA - LANÇAMENTO, ADENSAMENTO E ACABAMENTO. AF_02/2022_PS</t>
  </si>
  <si>
    <t>4.2</t>
  </si>
  <si>
    <t>CONCRETO ARMADO - VIGAS</t>
  </si>
  <si>
    <t>4.2.1</t>
  </si>
  <si>
    <t>4.2.2</t>
  </si>
  <si>
    <t>ARMAÇÃO DE PILAR OU VIGA DE ESTRUTURA CONVENCIONAL DE CONCRETO ARMADO UTILIZANDO AÇO CA-50 DE 8,0 MM - MONTAGEM. AF_06/2022</t>
  </si>
  <si>
    <t>4.2.3</t>
  </si>
  <si>
    <t>4.2.4</t>
  </si>
  <si>
    <t>4.2.5</t>
  </si>
  <si>
    <t>CONCRETAGEM DE VIGAS E LAJES, FCK=25 MPA, PARA LAJES MACIÇAS OU NERVURADAS COM USO DE BOMBA - LANÇAMENTO, ADENSAMENTO E ACABAMENTO. AF_02/2022_PS</t>
  </si>
  <si>
    <t>4.3</t>
  </si>
  <si>
    <t>CONCRETO ARMADO PARA VERGAS</t>
  </si>
  <si>
    <t>4.3.1</t>
  </si>
  <si>
    <t>VERGA PRÉ-MOLDADA COM ATÉ 1,5 M DE VÃO, ESPESSURA DE *20* CM. AF_03/2024</t>
  </si>
  <si>
    <t>4.4</t>
  </si>
  <si>
    <t>CONCRETO ARMADO - MURETA - PILARES</t>
  </si>
  <si>
    <t>4.4.1</t>
  </si>
  <si>
    <t>4.4.2</t>
  </si>
  <si>
    <t>4.4.3</t>
  </si>
  <si>
    <t>4.4.4</t>
  </si>
  <si>
    <t>4.5</t>
  </si>
  <si>
    <t>CONCRETO ARMADO - CASA DE GÁS - PILARES VIGAS E LAJE</t>
  </si>
  <si>
    <t>4.5.1</t>
  </si>
  <si>
    <t>4.5.2</t>
  </si>
  <si>
    <t>ARMAÇÃO DE PILAR OU VIGA DE ESTRUTURA CONVENCIONAL DE CONCRETO ARMADO UTILIZANDO AÇO CA-50 DE 6,3 MM - MONTAGEM. AF_06/2022</t>
  </si>
  <si>
    <t>4.5.3</t>
  </si>
  <si>
    <t>4.5.4</t>
  </si>
  <si>
    <t>4.5.5</t>
  </si>
  <si>
    <t>4.5.6</t>
  </si>
  <si>
    <t>4.6</t>
  </si>
  <si>
    <t>ESTRUTURA METÁLICA</t>
  </si>
  <si>
    <t>4.6.1</t>
  </si>
  <si>
    <t>ESTRUTURA TRELIÇADA DE COBERTURA, TIPO FINK, COM LIGAÇÕES SOLDADAS, INCLUSOS PERFIS METÁLICOS, CHAPAS METÁLICAS, MÃO DE OBRA E TRANSPORTE COM GUINDASTE - FORNECIMENTO E INSTALAÇÃO. AF_01/2020_PSA</t>
  </si>
  <si>
    <t>4.7</t>
  </si>
  <si>
    <t>PISO DE CONCRETO</t>
  </si>
  <si>
    <t>4.7.1</t>
  </si>
  <si>
    <t>PAVIMENTAÇÃO INTERNA DE PISO DE CONCRETO 7 CM</t>
  </si>
  <si>
    <t>4.7.1.1</t>
  </si>
  <si>
    <t>COMPACTAÇÃO MECÂNICA DE SOLO PARA EXECUÇÃO DE RADIER, PISO DE CONCRETO OU LAJE SOBRE SOLO, COM COMPACTADOR DE SOLOS A PERCUSSÃO. AF_09/2021</t>
  </si>
  <si>
    <t>4.7.1.2</t>
  </si>
  <si>
    <t>LASTRO COM MATERIAL GRANULAR, APLICADO EM PISOS OU LAJES SOBRE SOLO, ESPESSURA DE *5 CM*. AF_01/2024</t>
  </si>
  <si>
    <t>4.7.1.3</t>
  </si>
  <si>
    <t>CAMADA SEPARADORA PARA EXECUÇÃO DE RADIER, PISO DE CONCRETO OU LAJE SOBRE SOLO, EM LONA PLÁSTICA. AF_09/2021</t>
  </si>
  <si>
    <t>4.7.1.4</t>
  </si>
  <si>
    <t>EXECUÇÃO DE PASSEIO (CALÇADA) OU PISO DE CONCRETO COM CONCRETO MOLDADO IN LOCO, USINADO C20, ACABAMENTO CONVENCIONAL, NÃO ARMADO. AF_08/2022</t>
  </si>
  <si>
    <t>4.7.2</t>
  </si>
  <si>
    <t>PAVIMENTAÇÃO EXTERNA - CALÇADA DE PISO DE CONCRETO 7 CM</t>
  </si>
  <si>
    <t>4.7.2.1</t>
  </si>
  <si>
    <t>4.7.2.2</t>
  </si>
  <si>
    <t>4.7.2.3</t>
  </si>
  <si>
    <t>4.7.2.4</t>
  </si>
  <si>
    <t>SISTEMA DE VEDAÇÃO VERTICAL</t>
  </si>
  <si>
    <t>5.1</t>
  </si>
  <si>
    <t>ELEMENTOS VAZADOS</t>
  </si>
  <si>
    <t>5.1.1</t>
  </si>
  <si>
    <t>ALVENARIA DE VEDAÇÃO COM ELEMENTO VAZADO DE CONCRETO (COBOGÓ) DE 7X50X50CM E ARGAMASSA DE ASSENTAMENTO COM PREPARO EM BETONEIRA. AF_05/2020</t>
  </si>
  <si>
    <t>5.2</t>
  </si>
  <si>
    <t>ALVENARIA DE VEDAÇÃO</t>
  </si>
  <si>
    <t>5.2.1</t>
  </si>
  <si>
    <t>ALVENARIA DE VEDAÇÃO DE BLOCOS CERÂMICOS FURADOS NA VERTICAL DE 9X19X39 CM (ESPESSURA 9 CM) E ARGAMASSA DE ASSENTAMENTO COM PREPARO EM BETONEIRA. AF_12/2021</t>
  </si>
  <si>
    <t>5.2.2</t>
  </si>
  <si>
    <t>ALVENARIA DE VEDAÇÃO DE BLOCOS CERÂMICOS FURADOS NA HORIZONTAL DE 9X19X19 CM (ESPESSURA 9 CM) E ARGAMASSA DE ASSENTAMENTO COM PREPARO EM BETONEIRA. AF_12/2021</t>
  </si>
  <si>
    <t>5.2.3</t>
  </si>
  <si>
    <t>ALVENARIA DE VEDAÇÃO DE BLOCOS CERÂMICOS FURADOS NA VERTICAL DE 14X19X39 CM (ESPESSURA 14 CM) E ARGAMASSA DE ASSENTAMENTO COM PREPARO EM BETONEIRA. AF_12/2021</t>
  </si>
  <si>
    <t>5.2.4</t>
  </si>
  <si>
    <t>ALVENARIA DE VEDAÇÃO DE BLOCOS CERÂMICOS MACIÇOS DE 5X10X20CM (ESPESSURA 10CM) E ARGAMASSA DE ASSENTAMENTO COM PREPARO EM BETONEIRA. AF_05/2020</t>
  </si>
  <si>
    <t>5.2.5</t>
  </si>
  <si>
    <t>FIXAÇÃO (ENCUNHAMENTO) DE ALVENARIA DE VEDAÇÃO COM ARGAMASSA APLICADA COM COLHER. AF_03/2016</t>
  </si>
  <si>
    <t>5.3</t>
  </si>
  <si>
    <t>ALVENARIA DA MURETA</t>
  </si>
  <si>
    <t>5.3.1</t>
  </si>
  <si>
    <t>5.4</t>
  </si>
  <si>
    <t>DIVISÓRIAS</t>
  </si>
  <si>
    <t>5.4.1</t>
  </si>
  <si>
    <t>DIVISORIA SANITÁRIA, TIPO CABINE, EM GRANITO CINZA POLIDO, ESP = 3CM, ASSENTADO COM ARGAMASSA COLANTE AC III-E, EXCLUSIVE FERRAGENS. AF_01/2021</t>
  </si>
  <si>
    <t>5.4.2</t>
  </si>
  <si>
    <t>FNDE 129</t>
  </si>
  <si>
    <t>INSTALAÇÃO DE BOX DE VIDRO TEMPERADO, E = 10 MM, ENCAIXADO EM PERFIL U</t>
  </si>
  <si>
    <t>5.4.3</t>
  </si>
  <si>
    <t>PAREDE COM SISTEMA EM CHAPAS DE GESSO PARA DRYWALL, USO INTERNO, COM UMA FACE SIMPLES E ESTRUTURA METÁLICA COM GUIAS SIMPLES, SEM VÃOS. AF_07/2023_PS</t>
  </si>
  <si>
    <t>ESQUADRIAS</t>
  </si>
  <si>
    <t>6.1</t>
  </si>
  <si>
    <t>PORTAS DE MADEIRA</t>
  </si>
  <si>
    <t>6.1.1</t>
  </si>
  <si>
    <t>FNDE 433</t>
  </si>
  <si>
    <t>PM1 - KIT DE PORTA DE MADEIRA PARA PINTURA, SEMI-OCA (LEVE OU MÉDIA), PADRÃO MÉDIO, 70X210CM, ESPESSURA DE 3,5CM, ITENS INCLUSOS: DOBRADIÇAS, MONTAGEM E INSTALAÇÃO DO BATENTE, FECHADURA COM EXECUÇÃO DO FURO - FORNECIMENTO E INSTALAÇÃO</t>
  </si>
  <si>
    <t>6.1.2</t>
  </si>
  <si>
    <t>FNDE 247</t>
  </si>
  <si>
    <t>PM 2 - KIT DE PORTA DE MADEIRA COM VENEZIANA, 80X210CM (ESPESSURA DE 3CM), PADRÃO MÉDIO, ITENS INCLUSOS: DOBRADIÇAS, MONTAGEM E INSTALAÇÃO DE BATENTE, FECHADURA COM EXECUÇÃO DO FURO - FORNECIMENTO E INSTALAÇÃO</t>
  </si>
  <si>
    <t>6.1.3</t>
  </si>
  <si>
    <t>FNDE 246</t>
  </si>
  <si>
    <t>PM3 - KIT DE PORTA DE MADEIRA FRISADA, SEMI-OCA (LEVE OU MÉDIA), PADRÃO MÉDIO, 80X210CM, ESPESSURA DE 3,5CM, ITENS INCLUSOS: DOBRADIÇAS, MONTAGEM E INSTALAÇÃO DE BATENTE, FECHADURA COM EXECUÇÃO DO FURO - FORNECIMENTO E INSTALAÇÃO. AF_12/2019</t>
  </si>
  <si>
    <t>6.1.4</t>
  </si>
  <si>
    <t>FNDE 434</t>
  </si>
  <si>
    <t>PM4 - KIT DE PORTA DE MADEIRA FRISADA, SEMI-OCA (LEVE OU MÉDIA), PADRÃO MÉDIO, 80X210CM, ESPESSURA DE 3,5CM, ITENS INCLUSOS: DOBRADIÇAS, MONTAGEM E INSTALAÇÃO DE BATENTE, FECHADURA COM EXECUÇÃO DO FURO - FORNECIMENTO E INSTALAÇÃO. AF_12/2019</t>
  </si>
  <si>
    <t>6.1.5</t>
  </si>
  <si>
    <t>FNDE 430</t>
  </si>
  <si>
    <t>PM5 - KIT DE PORTA DE MADEIRA COM VISOR DE VIDRO, 80X210CM (ESPESSURA DE 3CM), PADRÃO POPULAR, ITENS INCLUSOS: DOBRADIÇAS, MONTAGEM E INSTALAÇÃO DE BATENTE, FECHADURA COM EXECUÇÃO DO FURO - FORNECIMENTO E INSTALAÇÃO. AF_12/2019</t>
  </si>
  <si>
    <t>6.1.6</t>
  </si>
  <si>
    <t>FNDE 432</t>
  </si>
  <si>
    <t>PM6 -PORTA EM COMPENSADO DE MADEIRA E=2cm REVESTIDA COM LAMINADO MELAMÍNICO COM VARIAÇÃO DE CORES</t>
  </si>
  <si>
    <t>6.1.7</t>
  </si>
  <si>
    <t>FNDE 431</t>
  </si>
  <si>
    <t>INSTALAÇÃO DE VIDRO LISO INCOLOR ESQUADRIA PM5 , E = 6 MM, EM ESQUADRIA DE MADEIRA, FIXADO COM BAGUETE</t>
  </si>
  <si>
    <t>6.2</t>
  </si>
  <si>
    <t>FERRAGENS E ACESSÓRIOS</t>
  </si>
  <si>
    <t>6.2.1</t>
  </si>
  <si>
    <t>TARJETA TIPO LIVRE/OCUPADO PARA PORTA DE BANHEIRO. AF_12/2019</t>
  </si>
  <si>
    <t>6.2.2</t>
  </si>
  <si>
    <t>BARRA DE APOIO RETA, EM ACO INOX POLIDO, COMPRIMENTO 60CM, FIXADA NA PAREDE - FORNECIMENTO E INSTALAÇÃO. AF_01/2020</t>
  </si>
  <si>
    <t>6.2.3</t>
  </si>
  <si>
    <t>FNDE 04</t>
  </si>
  <si>
    <t>CHAPA METÁLICA (ALUMÍNIO) 0,90 M X 0,40 M, ESPESSURA 1 MM PARA AS PORTAS</t>
  </si>
  <si>
    <t>M²</t>
  </si>
  <si>
    <t>6.3</t>
  </si>
  <si>
    <t>PORTAS EM ALUMÍNIO</t>
  </si>
  <si>
    <t>6.3.1</t>
  </si>
  <si>
    <t>FNDE 251</t>
  </si>
  <si>
    <t>PORTA DE ABRIR - PA1 - 100 X 210 CM EM CHAPA DE ALUMÍNIO, COM VENEZIANA E VIDRO MINIBOREAL 6 MM, INCLUSO FECHADURA E PUXADOR - CONFORME PROJETO DE ESQUADRIAS</t>
  </si>
  <si>
    <t>6.3.2</t>
  </si>
  <si>
    <t>FNDE 252</t>
  </si>
  <si>
    <t>PORTA DE ABRIR - PA2 - 80 X 210 CM EM CHAPA DE ALUMÍNIO, TIPO VENEZIANA COM GUARNIÇÃO, FIXAÇÃO COM PARAFUSOS - FORNECIMENTO E INSTALAÇÃO - CONFORME PROJETO DE ESQUADRIAS</t>
  </si>
  <si>
    <t>6.3.3</t>
  </si>
  <si>
    <t>FNDE 253</t>
  </si>
  <si>
    <t>PORTA DE ABRIR 2 FOLHAS - PA3 - 160 X 210 CM EM CHAPA DE ALUMÍNIO, TIPO VENEZIANA COM GUARNIÇÃO, FIXAÇÃO COM PARAFUSOS - FORNECIMENTO E INSTALAÇÃO - CONFORME PROJETO DE ESQUADRIAS</t>
  </si>
  <si>
    <t>6.3.4</t>
  </si>
  <si>
    <t>FNDE 435</t>
  </si>
  <si>
    <t>PORTA DE CORRER - PA4- 450 X 210 CM, DE ALUMÍNIO, COM DUAS FOLHAS FIXAS E DUAS FOLHAS DE CORRER PARA VIDRO, INCLUSO VIDRO LISO INCOLOR 8 MM, FECHADURA E PUXADOR, SEM ALIZAR - CONFORME PROJETO DE ESQUADRIAS</t>
  </si>
  <si>
    <t>6.3.5</t>
  </si>
  <si>
    <t>FNDE 436</t>
  </si>
  <si>
    <t>PORTA DE ABRIR  - PA5 - 120 X 170 CM EM CHAPA DE ALUMÍNIO, TIPO VENEZIANA COM GUARNIÇÃO, FIXAÇÃO COM PARAFUSOS - FORNECIMENTO E INSTALAÇÃO - CONFORME PROJETO DE ESQUADRIAS</t>
  </si>
  <si>
    <t>6.4</t>
  </si>
  <si>
    <t>JANELAS EM ALUMÍNIO</t>
  </si>
  <si>
    <t>6.4.1</t>
  </si>
  <si>
    <t>FNDE 258</t>
  </si>
  <si>
    <t>JANELA DE ALUMÍNIO - JA-1 - 70 X 125 CM, TIPO GUILHOTINA COMPLETA, COM VIDROS, BATENTE E FERRAGENS. EXCLUSIVE ALIZAR, ACABAMENTO E CONTRAMARCO, CONFORME PROJETO DE ESQUADRIAS</t>
  </si>
  <si>
    <t>6.4.2</t>
  </si>
  <si>
    <t>FNDE 438</t>
  </si>
  <si>
    <t>JANELA DE ALUMÍNIO - JA-2 - 110 X 195 CM, TIPO GUILHOTINACOMPLETA, COM VIDROS, BATENTE E FERRAGENS. EXCLUSIVE ALIZAR, ACABAMENTO E CONTRAMARCO, CONFORME PROJETO DE ESQUADRIAS</t>
  </si>
  <si>
    <t>6.4.3</t>
  </si>
  <si>
    <t>FNDE 275</t>
  </si>
  <si>
    <t>JANELA DE ALUMÍNIO JA-3 - 140 X 115, TIPO FIXA, PARA VIDRO, COM VIDRO, BATENTE E FERRAGENS. EXCLUSIVE ACABAMENTO, ALIZAR E CONTRAMARCO, CONFORME PROJETO DE ESQUADRIAS</t>
  </si>
  <si>
    <t>6.4.4</t>
  </si>
  <si>
    <t>FNDE 439</t>
  </si>
  <si>
    <t>JANELA DE ALUMÍNIO - JA-4 - 140 X 195 CM, TIPO GUILHOTINA COMPLETA, COM VIDROS, BATENTE E FERRAGENS. EXCLUSIVE ALIZAR, ACABAMENTO E CONTRAMARCO, CONFORME PROJETO DE ESQUADRIAS</t>
  </si>
  <si>
    <t>6.4.5</t>
  </si>
  <si>
    <t>FNDE 440</t>
  </si>
  <si>
    <t>JANELA DE ALUMÍNIO JA-5 - 200 X 105 CM, TIPO FIXA, PARA VIDRO, COM VIDRO, BATENTE E FERRAGENS. EXCLUSIVE ACABAMENTO, ALIZAR E CONTRAMARCO, CONFORME PROJETO DE ESQUADRIAS</t>
  </si>
  <si>
    <t>6.4.6</t>
  </si>
  <si>
    <t>FNDE 441</t>
  </si>
  <si>
    <t>JANELA DE ALUMÍNIO - JA-6 - 210 X 50 CM, TIPO MAXIM-AR, COM VIDROS, BATENTE E FERRAGENS. EXCLUSIVE ALIZAR, ACABAMENTO E CONTRAMARCO, CONFORME PROJETO DE ESQUADRIAS</t>
  </si>
  <si>
    <t>6.4.7</t>
  </si>
  <si>
    <t>FNDE 264</t>
  </si>
  <si>
    <t>JANELA DE ALUMÍNIO - JA-7 - 210 X 75 CM, TIPO MAXIM-AR, COM VIDROS, BATENTE E FERRAGENS. EXCLUSIVE ALIZAR, ACABAMENTO E CONTRAMARCO, CONFORME PROJETO DE ESQUADRIAS</t>
  </si>
  <si>
    <t>6.4.8</t>
  </si>
  <si>
    <t>FNDE 268</t>
  </si>
  <si>
    <t>JANELA DE ALUMÍNIO - JA-8 - 210 X 100 CM, TIPO MAXIM-AR, COM VIDROS, BATENTE E FERRAGENS. EXCLUSIVE ALIZAR, ACABAMENTO E CONTRAMARCO, CONFORME PROJETO DE ESQUADRIAS</t>
  </si>
  <si>
    <t>6.4.9</t>
  </si>
  <si>
    <t>FNDE 265</t>
  </si>
  <si>
    <t>JANELA DE ALUMÍNIO - JA-9 - 210 X 150 CM, TIPO MAXIM-AR, COM VIDROS, BATENTE E FERRAGENS. EXCLUSIVE ALIZAR, ACABAMENTO E CONTRAMARCO, CONFORME PROJETO DE ESQUADRIAS</t>
  </si>
  <si>
    <t>6.4.10</t>
  </si>
  <si>
    <t>FNDE 442</t>
  </si>
  <si>
    <t>JANELA DE ALUMÍNIO - JA-10 - 70 X 75 CM, TIPO MAXIM-AR, COM VIDROS, BATENTE E FERRAGENS. EXCLUSIVE ALIZAR, ACABAMENTO E CONTRAMARCO, CONFORME PROJETO DE ESQUADRIAS</t>
  </si>
  <si>
    <t>6.4.11</t>
  </si>
  <si>
    <t>FNDE 270</t>
  </si>
  <si>
    <t>JANELA DE ALUMÍNIO - JA-11 - 140 X 75 CM, TIPO MAXIM-AR, COM VIDROS, BATENTE E FERRAGENS. EXCLUSIVE ALIZAR, ACABAMENTO E CONTRAMARCO, CONFORME PROJETO DE ESQUADRIAS</t>
  </si>
  <si>
    <t>6.4.12</t>
  </si>
  <si>
    <t>FNDE 443</t>
  </si>
  <si>
    <t>JANELA DE ALUMÍNIO - JA-12 - 420 X 50 CM, TIPO MAXIM-AR, COM VIDROS, BATENTE E FERRAGENS. EXCLUSIVE ALIZAR, ACABAMENTO E CONTRAMARCO, CONFORME PROJETO DE ESQUADRIAS</t>
  </si>
  <si>
    <t>6.4.13</t>
  </si>
  <si>
    <t>FNDE 444</t>
  </si>
  <si>
    <t>JANELA DE ALUMÍNIO - JA-13 - 560 X 100 CM, TIPO MAXIM-AR, COM VIDROS, BATENTE E FERRAGENS. EXCLUSIVE ALIZAR, ACABAMENTO E CONTRAMARCO, CONFORME PROJETO DE ESQUADRIAS</t>
  </si>
  <si>
    <t>6.4.14</t>
  </si>
  <si>
    <t>FNDE 445</t>
  </si>
  <si>
    <t>JANELA DE ALUMÍNIO JA-14 - 160 X 85, TIPO FIXA, PARA VIDRO, COM VIDRO, BATENTE E FERRAGENS. EXCLUSIVE ACABAMENTO, ALIZAR E CONTRAMARCO, CONFORME PROJETO DE ESQUADRIAS</t>
  </si>
  <si>
    <t>6.4.15</t>
  </si>
  <si>
    <t>FNDE 05</t>
  </si>
  <si>
    <t>TELA TIPO MOSQUITEIRO - FIXADA NA ESQUADRIA - CONFORME PROJETO DE ESQUADRIAS</t>
  </si>
  <si>
    <t>6.5</t>
  </si>
  <si>
    <t>PORTAS DE VIDRO</t>
  </si>
  <si>
    <t>6.5.1</t>
  </si>
  <si>
    <t>FNDE 437</t>
  </si>
  <si>
    <t>PORTA DE VIDRO - PV1 - 175X 230 CM, DE ABRIR DUAS FOLHAS TEMPERADO INCOLOR 10 MM, CONFORME PROJETO</t>
  </si>
  <si>
    <t>6.6</t>
  </si>
  <si>
    <t>ESQUADRIA GERAL</t>
  </si>
  <si>
    <t>6.6.1</t>
  </si>
  <si>
    <t>FNDE 280</t>
  </si>
  <si>
    <t>PF1 - PORTÃO METÁLICO DE ABRIR, 1,40 X 2,20 M, COM CHAPA METÁLICA, INCLUSO PINTURA, CONFORME PROJETO DE ESQUADRIAS</t>
  </si>
  <si>
    <t>6.6.2</t>
  </si>
  <si>
    <t>FNDE 08</t>
  </si>
  <si>
    <t>PF2 - PORTÃO METÁLICO DE ABRIR,  1,40 X 1,05 M, COM CHAPA METÁLICA, INCLUSO PINTURA, CONFORME PROJETO DE ESQUADRIAS</t>
  </si>
  <si>
    <t>6.6.3</t>
  </si>
  <si>
    <t>FNDE 281</t>
  </si>
  <si>
    <t>FECHAMENTO EM CHAPA METÁLICA PERFURADA, INCLUSO PINTURA, CONFORME PROJETO</t>
  </si>
  <si>
    <t>6.6.4</t>
  </si>
  <si>
    <t>FNDE 283</t>
  </si>
  <si>
    <t>CERCA/GRADIL H=1,58M, MALHA 5 X 15CM -  GALVANIZADO</t>
  </si>
  <si>
    <t>6.6.5</t>
  </si>
  <si>
    <t>FNDE 446</t>
  </si>
  <si>
    <t>P01 - PORTÃO METÁLICO 1,50 x 2,10 M , MALHA 5 X 20CM - FIO 5,00MM, REVESTIDOS EM POLIESTER POR PROCESSO DE PINTURA ELETROSTÁTICA (GRADIL), NA COR BRANCA - FORNECIMENTO E INSTALAÇÃO</t>
  </si>
  <si>
    <t>6.6.6</t>
  </si>
  <si>
    <t>FNDE 447</t>
  </si>
  <si>
    <t>P02 - PORTÃO METÁLICO 1,00 x 2,00 M , MALHA 5 X 20CM - FIO 5,00MM, REVESTIDOS EM POLIESTER POR PROCESSO DE PINTURA ELETROSTÁTICA (GRADIL), NA COR BRANCA - FORNECIMENTO E INSTALAÇÃO</t>
  </si>
  <si>
    <t>6.6.7</t>
  </si>
  <si>
    <t>FNDE 448</t>
  </si>
  <si>
    <t>P03 - PORTÃO METÁLICO 3,12 x 2,00 M , MALHA 5 X 20CM - FIO 5,00MM, REVESTIDOS EM POLIESTER POR PROCESSO DE PINTURA ELETROSTÁTICA (GRADIL), NA COR BRANCA - FORNECIMENTO E INSTALAÇÃO</t>
  </si>
  <si>
    <t>SISTEMAS DE COBERTURA</t>
  </si>
  <si>
    <t>7.1</t>
  </si>
  <si>
    <t>FNDE 20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</si>
  <si>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</si>
  <si>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7.2</t>
  </si>
  <si>
    <t>CALHA EM CHAPA DE AÇO GALVANIZADO NÚMERO 24, DESENVOLVIMENTO DE 100 CM, INCLUSO TRANSPORTE VERTICAL. AF_07/2019</t>
  </si>
  <si>
    <t>7.3</t>
  </si>
  <si>
    <t>FNDE 422</t>
  </si>
  <si>
    <t>RUFO EM CHAPA DE AÇO GALVANIZADO NR. 24, DESENVOLVIMENTO 73 CM</t>
  </si>
  <si>
    <t>7.4</t>
  </si>
  <si>
    <t>FNDE 423</t>
  </si>
  <si>
    <t>RUFO EM CHAPA DE AÇO GALVANIZADO NR. 24, DESENVOLVIMENTO 39 CM</t>
  </si>
  <si>
    <t>7.5</t>
  </si>
  <si>
    <t>FNDE 424</t>
  </si>
  <si>
    <t>RUFO EM CHAPA DE AÇO GALVANIZADO NR. 24, DESENVOLVIMENTO 32 CM</t>
  </si>
  <si>
    <t>7.6</t>
  </si>
  <si>
    <t>FNDE 167</t>
  </si>
  <si>
    <t>PINGADEIRA EM CHAPA DE AÇO GALVANIZADO</t>
  </si>
  <si>
    <t>IMPERMEABILIZAÇÃO</t>
  </si>
  <si>
    <t>8.1</t>
  </si>
  <si>
    <t>FNDE 172</t>
  </si>
  <si>
    <t>IMPERMEABILIZAÇÃO DE VIGA BALDRAME COM EMULSÃO ASFÁLTICA, 2 DEMÃOS</t>
  </si>
  <si>
    <t>8.2</t>
  </si>
  <si>
    <t>FNDE 174</t>
  </si>
  <si>
    <t>IMPERMEABILIZAÇÃO DE PISO COM EMULSÃO ASFÁLTICA, 2 DEMÃOS</t>
  </si>
  <si>
    <t>REVESTIMENTOS INTERNO E EXTERNO</t>
  </si>
  <si>
    <t>9.1</t>
  </si>
  <si>
    <t>9.1.1</t>
  </si>
  <si>
    <t>CHAPISCO APLICADO EM ALVENARIAS E ESTRUTURAS DE CONCRETO INTERNAS, COM COLHER DE PEDREIRO.  ARGAMASSA TRAÇO 1:3 COM PREPARO MANUAL. AF_10/2022</t>
  </si>
  <si>
    <t>9.1.2</t>
  </si>
  <si>
    <t>EMBOÇO, EM ARGAMASSA TRAÇO 1:2:8, PREPARO MECÂNICO, APLICADO MANUALMENTE EM PAREDES INTERNAS DE AMBIENTES COM ÁREA MAIOR QUE 10M², E = 17,5MM, COM TALISCAS. AF_03/2024</t>
  </si>
  <si>
    <t>9.1.3</t>
  </si>
  <si>
    <t>EMBOÇO OU MASSA ÚNICA EM ARGAMASSA TRAÇO 1:2:8, PREPARO MECÂNICO COM BETONEIRA 400 L, APLICADA MANUALMENTE EM PANOS CEGOS DE FACHADA (SEM PRESENÇA DE VÃOS), ESPESSURA DE 25 MM. AF_08/2022</t>
  </si>
  <si>
    <t>9.1.4</t>
  </si>
  <si>
    <t>MASSA ÚNICA, EM ARGAMASSA INDUSTRIALIZADA, PREPARO MECÂNICO, APLICADA COM EQUIPAMENTO DE MISTURA E PROJEÇÃO DE ARGAMASSA EM PAREDES INTERNAS, E = 5MM, SEM TALISCAS. AF_03/2024</t>
  </si>
  <si>
    <t>9.1.5</t>
  </si>
  <si>
    <t>REVESTIMENTO CERÂMICO PARA PAREDES INTERNAS COM PLACAS TIPO ESMALTADA EXTRA  DE DIMENSÕES 33X45 CM APLICADAS NA ALTURA INTEIRA DAS PAREDES. AF_02/2023_PE</t>
  </si>
  <si>
    <t>9.1.6</t>
  </si>
  <si>
    <t>FNDE 293</t>
  </si>
  <si>
    <t>REVESTIMENTO CERÂMICO PARA PAREDES INTERNAS COM PLACAS TIPO ESMALTADA EXTRA DE DIMENSÕES 10X10 CM COR AMARELA APLICADAS NA ALTURA INTEIRA DAS PAREDES</t>
  </si>
  <si>
    <t>9.1.7</t>
  </si>
  <si>
    <t>FNDE 294</t>
  </si>
  <si>
    <t>REVESTIMENTO CERÂMICO PARA PAREDES INTERNAS COM PLACAS TIPO ESMALTADA EXTRA DE DIMENSÕES 10X10 CM COR AZUL APLICADAS NA ALTURA INTEIRA DAS PAREDES</t>
  </si>
  <si>
    <t>9.1.8</t>
  </si>
  <si>
    <t>FNDE 295</t>
  </si>
  <si>
    <t>REVESTIMENTO CERÂMICO PARA PAREDES INTERNAS COM PLACAS TIPO ESMALTADA EXTRA DE DIMENSÕES 10X10 CM COR BRANCA APLICADAS NA ALTURA INTEIRA DAS PAREDES</t>
  </si>
  <si>
    <t>9.1.9</t>
  </si>
  <si>
    <t>FNDE 296</t>
  </si>
  <si>
    <t>REVESTIMENTO CERÂMICO PARA PAREDES INTERNAS COM PLACAS TIPO ESMALTADA EXTRA DE DIMENSÕES 10X10 CM COR VERMELHA APLICADAS NA ALTURA INTEIRA DAS PAREDES</t>
  </si>
  <si>
    <t>9.1.10</t>
  </si>
  <si>
    <t>FNDE 245</t>
  </si>
  <si>
    <t>RODA MEIO EM MADEIRA, ALTURA 7CM, FIXADO COM COLA</t>
  </si>
  <si>
    <t>9.1.11</t>
  </si>
  <si>
    <t>FORRO EM DRYWALL, PARA AMBIENTES COMERCIAIS, INCLUSIVE ESTRUTURA BIRECIONAL DE FIXAÇÃO. AF_08/2023_PS</t>
  </si>
  <si>
    <t>9.1.12</t>
  </si>
  <si>
    <t>FNDE 18</t>
  </si>
  <si>
    <t>FORRO DE FIBRA MINERAL EM PLACAS DE 625 X 625 MM, E = 15 MM, BORDA RETA, COM PINTURA ANTIMOFO, APOIADO EM PERFIL DE ACO GALVANIZADO COM 24 MM DE BASE - INSTALADO</t>
  </si>
  <si>
    <t>9.2</t>
  </si>
  <si>
    <t>MURETA</t>
  </si>
  <si>
    <t>9.2.1</t>
  </si>
  <si>
    <t>9.2.2</t>
  </si>
  <si>
    <t>SISTEMAS DE PISOS</t>
  </si>
  <si>
    <t>10.1</t>
  </si>
  <si>
    <t>PAVIMENTAÇÃO INTERNA</t>
  </si>
  <si>
    <t>10.1.1</t>
  </si>
  <si>
    <t>FNDE 182</t>
  </si>
  <si>
    <t>CONTRAPISO DE CONCRETO NÃO-ESTRUTURAL, ESPESSURA 3 CM E PREPARO MECÂNICO</t>
  </si>
  <si>
    <t>10.1.2</t>
  </si>
  <si>
    <t>PISO CIMENTADO, TRAÇO 1:3 (CIMENTO E AREIA), ACABAMENTO LISO, ESPESSURA 3,0 CM, PREPARO MECÂNICO DA ARGAMASSA. AF_09/2020</t>
  </si>
  <si>
    <t>10.1.3</t>
  </si>
  <si>
    <t>CONTRAPISO EM ARGAMASSA TRAÇO 1:4 (CIMENTO E AREIA), PREPARO MECÂNICO COM BETONEIRA 400 L, APLICADO EM ÁREAS MOLHADAS SOBRE IMPERMEABILIZAÇÃO, ACABAMENTO NÃO REFORÇADO, ESPESSURA 3CM. AF_07/2021</t>
  </si>
  <si>
    <t>10.1.4</t>
  </si>
  <si>
    <t>REVESTIMENTO CERÂMICO PARA PISO COM PLACAS TIPO ESMALTADA EXTRA DE DIMENSÕES 60X60 CM APLICADA EM AMBIENTES DE ÁREA MAIOR QUE 10 M2. AF_02/2023_PE</t>
  </si>
  <si>
    <t>10.1.5</t>
  </si>
  <si>
    <t>REVESTIMENTO CERÂMICO PARA PISO COM PLACAS TIPO ESMALTADA EXTRA DE DIMENSÕES 45X45 CM APLICADA EM AMBIENTES DE ÁREA MAIOR QUE 10 M2. AF_02/2023_PE</t>
  </si>
  <si>
    <t>10.1.6</t>
  </si>
  <si>
    <t>FNDE 425</t>
  </si>
  <si>
    <t>PISO VINÍLICO SEMI-FLEXÍVEL EM MANTA ESPESSURA 2 MM</t>
  </si>
  <si>
    <t>10.1.7</t>
  </si>
  <si>
    <t>FNDE 09</t>
  </si>
  <si>
    <t>NATA DE CIMENTO COM COLA PVA, PARA NIVELAMENTO  DE CONTRAPISO PARA ASSENTAMENTO DE PISO VINÍLICO</t>
  </si>
  <si>
    <t>10.1.8</t>
  </si>
  <si>
    <t>RODAPÉ CERÂMICO DE 7CM DE ALTURA COM PLACAS TIPO ESMALTADA EXTRA DE DIMENSÕES 60X60CM. AF_02/2023</t>
  </si>
  <si>
    <t>10.1.9</t>
  </si>
  <si>
    <t>RODAPÉ EM POLIESTIRENO, ALTURA 5 CM. AF_09/2020</t>
  </si>
  <si>
    <t>10.1.10</t>
  </si>
  <si>
    <t>SOLEIRA EM GRANITO, LARGURA 15 CM, ESPESSURA 2,0 CM. AF_09/2020</t>
  </si>
  <si>
    <t>10.1.11</t>
  </si>
  <si>
    <t>FNDE 426</t>
  </si>
  <si>
    <t>SOLEIRA EM GRANITO, LARGURA 30 CM, ESPESSURA 2,0 CM</t>
  </si>
  <si>
    <t>10.1.12</t>
  </si>
  <si>
    <t>PINTURA DE PISO COM TINTA EPÓXI, APLICAÇÃO MANUAL, 2 DEMÃOS, INCLUSO PRIMER EPÓXI. AF_05/2021</t>
  </si>
  <si>
    <t>10.2</t>
  </si>
  <si>
    <t>PAVIMENTAÇÃO EXTERNA</t>
  </si>
  <si>
    <t>10.2.1</t>
  </si>
  <si>
    <t>PISO CIMENTADO, TRAÇO 1:3 (CIMENTO E AREIA), ACABAMENTO RÚSTICO, ESPESSURA 3,0 CM, PREPARO MECÂNICO DA ARGAMASSA. AF_09/2020</t>
  </si>
  <si>
    <t>10.2.2</t>
  </si>
  <si>
    <t>EXECUÇÃO DE PASSEIO EM PISO INTERTRAVADO, COM BLOCO RETANGULAR COR NATURAL DE 20 X 10 CM, ESPESSURA 6 CM. AF_10/2022</t>
  </si>
  <si>
    <t>10.2.3</t>
  </si>
  <si>
    <t>FNDE 190</t>
  </si>
  <si>
    <t>PISO PODOTÁTIL DE ALERTA, COR VERMELHA, DE CONCRETO, ASSENTADO SOBRE ARGAMASSA</t>
  </si>
  <si>
    <t>10.2.4</t>
  </si>
  <si>
    <t>FNDE 427</t>
  </si>
  <si>
    <t>PISO PODOTÁTIL DIRECIONAL, , COR VERMELHA, DE CONCRETO, ASSENTADO SOBRE ARGAMASSA</t>
  </si>
  <si>
    <t>10.2.5</t>
  </si>
  <si>
    <t>FNDE 10</t>
  </si>
  <si>
    <t>COLCHÃO DRENANTE DE AREIA H= 30 CM</t>
  </si>
  <si>
    <t>10.2.6</t>
  </si>
  <si>
    <t>PLANTIO DE GRAMA BATATAIS EM PLACAS. AF_05/2018</t>
  </si>
  <si>
    <t>10.2.7</t>
  </si>
  <si>
    <t>GUIA (MEIO-FIO) CONCRETO, MOLDADA  IN LOCO  EM TRECHO RETO COM EXTRUSORA, 13 CM BASE X 22 CM ALTURA. AF_01/2024</t>
  </si>
  <si>
    <t>PINTURAS E ACABAMENTOS</t>
  </si>
  <si>
    <t>11.1</t>
  </si>
  <si>
    <t>PINTURA EDIFICAÇÃO</t>
  </si>
  <si>
    <t>11.1.1</t>
  </si>
  <si>
    <t>EMASSAMENTO COM MASSA LÁTEX, APLICAÇÃO EM PAREDE, DUAS DEMÃOS, LIXAMENTO MANUAL. AF_04/2023</t>
  </si>
  <si>
    <t>11.1.2</t>
  </si>
  <si>
    <t>FNDE 402</t>
  </si>
  <si>
    <t>PINTURA LÁTEX ACRÍLICA, COR BRANCO GELO, APLICAÇÃO MANUAL EM PAREDES, DUAS DEMÃOS</t>
  </si>
  <si>
    <t>11.1.3</t>
  </si>
  <si>
    <t>PINTURA TINTA DE ACABAMENTO (PIGMENTADA) ESMALTE SINTÉTICO ACETINADO EM MADEIRA, 2 DEMÃOS. AF_01/2021</t>
  </si>
  <si>
    <t>11.1.4</t>
  </si>
  <si>
    <t>FNDE 201</t>
  </si>
  <si>
    <t>PINTURA EM ESMALTE SINTÉTICO EM RODAMEIO DE MADEIRA, 2 DEMÃOS - COR BRANCO</t>
  </si>
  <si>
    <t>11.1.5</t>
  </si>
  <si>
    <t>FNDE 428</t>
  </si>
  <si>
    <t>PINTURA COM TINTA EPÓXI EM PAREDES,ÁREAS MOLHADAS,  APLICAÇÃO MANUAL, 2 DEMÃOS, INCLUSO PRIMER EPÓXI</t>
  </si>
  <si>
    <t>11.1.6</t>
  </si>
  <si>
    <t>PINTURA COM TINTA ALQUÍDICA DE ACABAMENTO (ESMALTE SINTÉTICO ACETINADO) APLICADA A ROLO OU PINCEL SOBRE SUPERFÍCIES METÁLICAS (EXCETO PERFIL) EXECUTADO EM OBRA (POR DEMÃO). AF_01/2020</t>
  </si>
  <si>
    <t>11.2</t>
  </si>
  <si>
    <t>PINTURA DE FORROS</t>
  </si>
  <si>
    <t>11.2.1</t>
  </si>
  <si>
    <t>EMASSAMENTO COM MASSA LÁTEX, APLICAÇÃO EM TETO, UMA DEMÃO, LIXAMENTO MANUAL. AF_04/2023</t>
  </si>
  <si>
    <t>11.2.2</t>
  </si>
  <si>
    <t>PINTURA LÁTEX ACRÍLICA PREMIUM, APLICAÇÃO MANUAL EM TETO, DUAS DEMÃOS. AF_04/2023</t>
  </si>
  <si>
    <t>11.3</t>
  </si>
  <si>
    <t>PINTURA - DIVERSOS</t>
  </si>
  <si>
    <t>11.3.1</t>
  </si>
  <si>
    <t>11.3.2</t>
  </si>
  <si>
    <t>PINTURA COM TINTA ALQUÍDICA DE FUNDO E ACABAMENTO (ESMALTE SINTÉTICO GRAFITE) APLICADA A ROLO OU PINCEL SOBRE PERFIL METÁLICO EXECUTADO EM FÁBRICA (POR DEMÃO). AF_01/2020</t>
  </si>
  <si>
    <t>11.4</t>
  </si>
  <si>
    <t>11.4.1</t>
  </si>
  <si>
    <t>APLICAÇÃO MANUAL DE MASSA ACRÍLICA EM PANOS DE FACHADA SEM PRESENÇA DE VÃOS, DE EDIFÍCIOS DE MÚLTIPLOS PAVIMENTOS, DUAS DEMÃOS. AF_03/2024</t>
  </si>
  <si>
    <t>11.4.2</t>
  </si>
  <si>
    <t>PINTURA LÁTEX ACRÍLICA PREMIUM, APLICAÇÃO MANUAL EM PAREDES, DUAS DEMÃOS. AF_04/2023</t>
  </si>
  <si>
    <t>INSTALAÇÃO HIDRÁULICA</t>
  </si>
  <si>
    <t>12.1</t>
  </si>
  <si>
    <t>TUBULAÇÕES E CONEXÕES DE PVC RÍGIDO</t>
  </si>
  <si>
    <t>12.1.1</t>
  </si>
  <si>
    <t>TUBO, PVC, SOLDÁVEL, DN 20MM, INSTALADO EM RAMAL DE DISTRIBUIÇÃO DE ÁGUA - FORNECIMENTO E INSTALAÇÃO. AF_06/2022</t>
  </si>
  <si>
    <t>12.1.2</t>
  </si>
  <si>
    <t>TUBO, PVC, SOLDÁVEL, DN 25MM, INSTALADO EM RAMAL OU SUB-RAMAL DE ÁGUA - FORNECIMENTO E INSTALAÇÃO. AF_06/2022</t>
  </si>
  <si>
    <t>12.1.3</t>
  </si>
  <si>
    <t>TUBO, PVC, SOLDÁVEL, DN 50MM, INSTALADO EM RAMAL DE DISTRIBUIÇÃO DE ÁGUA - FORNECIMENTO E INSTALAÇÃO. AF_06/2022</t>
  </si>
  <si>
    <t>12.1.4</t>
  </si>
  <si>
    <t>TUBO, PVC, SOLDÁVEL, DN 60MM, INSTALADO EM PRUMADA DE ÁGUA - FORNECIMENTO E INSTALAÇÃO. AF_06/2022</t>
  </si>
  <si>
    <t>12.1.5</t>
  </si>
  <si>
    <t>TUBO, PVC, SOLDÁVEL, DN 75MM, INSTALADO EM PRUMADA DE ÁGUA - FORNECIMENTO E INSTALAÇÃO. AF_06/2022</t>
  </si>
  <si>
    <t>12.1.6</t>
  </si>
  <si>
    <t>TUBO, PVC, SOLDÁVEL, DN 85MM, INSTALADO EM PRUMADA DE ÁGUA - FORNECIMENTO E INSTALAÇÃO. AF_06/2022</t>
  </si>
  <si>
    <t>12.1.7</t>
  </si>
  <si>
    <t>ADAPTADOR COM FLANGES LIVRES, CPVC, ROSCÁVEL, DN 22 MM, INSTALADO EM RESERVAÇÃO DE ÁGUA DE EDIFICAÇÃO QUE POSSUA RESERVATÓRIO DE FIBRA/FIBROCIMENTO - FORNECIMENTO E INSTALAÇÃO. AF_06/2016</t>
  </si>
  <si>
    <t>12.1.8</t>
  </si>
  <si>
    <t>ADAPTADOR COM FLANGES LIVRES, PVC, SOLDÁVEL, DN 75 MM X 2 1/2 , INSTALADO EM RESERVAÇÃO DE ÁGUA DE EDIFICAÇÃO QUE POSSUA RESERVATÓRIO DE FIBRA/FIBROCIMENTO   FORNECIMENTO E INSTALAÇÃO. AF_06/2016</t>
  </si>
  <si>
    <t>12.1.9</t>
  </si>
  <si>
    <t>ADAPTADOR COM FLANGES LIVRES, PVC, SOLDÁVEL, DN 85 MM X 3 , INSTALADO EM RESERVAÇÃO DE ÁGUA DE EDIFICAÇÃO QUE POSSUA RESERVATÓRIO DE FIBRA/FIBROCIMENTO   FORNECIMENTO E INSTALAÇÃO. AF_06/2016</t>
  </si>
  <si>
    <t>12.1.10</t>
  </si>
  <si>
    <t>ADAPTADOR CURTO COM BOLSA E ROSCA PARA REGISTRO, PVC, SOLDÁVEL, DN 20MM X 1/2 , INSTALADO EM RAMAL OU SUB-RAMAL DE ÁGUA - FORNECIMENTO E INSTALAÇÃO. AF_06/2022</t>
  </si>
  <si>
    <t>12.1.11</t>
  </si>
  <si>
    <t>ADAPTADOR CURTO COM BOLSA E ROSCA PARA REGISTRO, PVC, SOLDÁVEL, DN 25MM X 3/4 , INSTALADO EM RAMAL OU SUB-RAMAL DE ÁGUA - FORNECIMENTO E INSTALAÇÃO. AF_06/2022</t>
  </si>
  <si>
    <t>12.1.12</t>
  </si>
  <si>
    <t>ADAPTADOR CURTO COM BOLSA E ROSCA PARA REGISTRO, PVC, SOLDÁVEL, DN 50MM X 1.1/4", INSTALADO EM RAMAL DE DISTRIBUIÇÃO DE ÁGUA - FORNECIMENTO E INSTALAÇÃO. AF_06/2022</t>
  </si>
  <si>
    <t>12.1.13</t>
  </si>
  <si>
    <t>ADAPTADOR CURTO COM BOLSA E ROSCA PARA REGISTRO, PVC, SOLDÁVEL, DN 75MM X 2.1/2", INSTALADO EM PRUMADA DE ÁGUA - FORNECIMENTO E INSTALAÇÃO. AF_12/2014</t>
  </si>
  <si>
    <t>12.1.14</t>
  </si>
  <si>
    <t>ADAPTADOR CURTO COM BOLSA E ROSCA PARA REGISTRO, PVC, SOLDÁVEL, DN 85MM X 3 , INSTALADO EM PRUMADA DE ÁGUA - FORNECIMENTO E INSTALAÇÃO. AF_06/2022</t>
  </si>
  <si>
    <t>12.1.15</t>
  </si>
  <si>
    <t>LUVA DE REDUÇÃO, PVC, SOLDÁVEL, DN 60MM X 50MM, INSTALADO EM PRUMADA DE ÁGUA - FORNECIMENTO E INSTALAÇÃO. AF_06/2022</t>
  </si>
  <si>
    <t>12.1.16</t>
  </si>
  <si>
    <t>FNDE 205</t>
  </si>
  <si>
    <t>BUCHA DE REDUÇÃO, CURTA, PVC, SOLDÁVEL, DN 75 X 60 MM, INSTALADO EM PRUMADA DE ÁGUA - FORNECIMENTO E INSTALAÇÃO</t>
  </si>
  <si>
    <t>12.1.17</t>
  </si>
  <si>
    <t>FNDE 229</t>
  </si>
  <si>
    <t>BUCHA DE REDUÇÃO, CURTA, PVC, SOLDÁVEL, DN 85 X 75 MM, INSTALADO EM PRUMADA DE ÁGUA - FORNECIMENTO E INSTALAÇÃO</t>
  </si>
  <si>
    <t>12.1.18</t>
  </si>
  <si>
    <t>LUVA DE REDUÇÃO, PVC, SOLDÁVEL, DN 50MM X 25MM, INSTALADO EM RAMAL DE DISTRIBUIÇÃO DE ÁGUA   FORNECIMENTO E INSTALAÇÃO. AF_06/2022</t>
  </si>
  <si>
    <t>12.1.19</t>
  </si>
  <si>
    <t>BUCHA DE REDUÇÃO, LONGA, PVC, SOLDÁVEL, DN 60 X 32 MM, INSTALADO EM PRUMADA DE ÁGUA - FORNECIMENTO E INSTALAÇÃO. AF_06/2022</t>
  </si>
  <si>
    <t>12.1.20</t>
  </si>
  <si>
    <t>BUCHA DE REDUÇÃO, LONGA, PVC, SOLDÁVEL, DN 75 X 50 MM, INSTALADO EM PRUMADA DE ÁGUA - FORNECIMENTO E INSTALAÇÃO. AF_06/2022</t>
  </si>
  <si>
    <t>12.1.21</t>
  </si>
  <si>
    <t>JOELHO 45 GRAUS, PVC, SOLDÁVEL, DN 25MM, INSTALADO EM PRUMADA DE ÁGUA - FORNECIMENTO E INSTALAÇÃO. AF_06/2022</t>
  </si>
  <si>
    <t>12.1.22</t>
  </si>
  <si>
    <t>JOELHO 45 GRAUS, PVC, SOLDÁVEL, DN 50MM, INSTALADO EM PRUMADA DE ÁGUA - FORNECIMENTO E INSTALAÇÃO. AF_06/2022</t>
  </si>
  <si>
    <t>12.1.23</t>
  </si>
  <si>
    <t>JOELHO 45 GRAUS, PVC, SOLDÁVEL, DN 75MM, INSTALADO EM PRUMADA DE ÁGUA - FORNECIMENTO E INSTALAÇÃO. AF_06/2022</t>
  </si>
  <si>
    <t>12.1.24</t>
  </si>
  <si>
    <t>JOELHO 45 GRAUS, PVC, SOLDÁVEL, DN 85MM, INSTALADO EM PRUMADA DE ÁGUA - FORNECIMENTO E INSTALAÇÃO. AF_06/2022</t>
  </si>
  <si>
    <t>12.1.25</t>
  </si>
  <si>
    <t>JOELHO 90 GRAUS, PVC, SOLDÁVEL, DN 20MM, INSTALADO EM RAMAL OU SUB-RAMAL DE ÁGUA - FORNECIMENTO E INSTALAÇÃO. AF_06/2022</t>
  </si>
  <si>
    <t>12.1.26</t>
  </si>
  <si>
    <t>12.1.27</t>
  </si>
  <si>
    <t>JOELHO 90 GRAUS, PVC, SOLDÁVEL, DN 50MM, INSTALADO EM PRUMADA DE ÁGUA - FORNECIMENTO E INSTALAÇÃO. AF_06/2022</t>
  </si>
  <si>
    <t>12.1.28</t>
  </si>
  <si>
    <t>JOELHO 90 GRAUS, PVC, SOLDÁVEL, DN 60MM, INSTALADO EM PRUMADA DE ÁGUA - FORNECIMENTO E INSTALAÇÃO. AF_06/2022</t>
  </si>
  <si>
    <t>12.1.29</t>
  </si>
  <si>
    <t>JOELHO 90 GRAUS, PVC, SOLDÁVEL, DN 75 MM INSTALADO EM RESERVAÇÃO DE ÁGUA DE EDIFICAÇÃO QUE POSSUA RESERVATÓRIO DE FIBRA/FIBROCIMENTO   FORNECIMENTO E INSTALAÇÃO. AF_06/2016</t>
  </si>
  <si>
    <t>12.1.30</t>
  </si>
  <si>
    <t>JOELHO 90 GRAUS, PVC, SOLDÁVEL, DN 85 MM INSTALADO EM RESERVAÇÃO DE ÁGUA DE EDIFICAÇÃO QUE POSSUA RESERVATÓRIO DE FIBRA/FIBROCIMENTO   FORNECIMENTO E INSTALAÇÃO. AF_06/2016</t>
  </si>
  <si>
    <t>12.1.31</t>
  </si>
  <si>
    <t>JOELHO 90 GRAUS COM BUCHA DE LATÃO, PVC, SOLDÁVEL, DN 25MM, X 1/2  INSTALADO EM RAMAL OU SUB-RAMAL DE ÁGUA - FORNECIMENTO E INSTALAÇÃO. AF_06/2022</t>
  </si>
  <si>
    <t>12.1.32</t>
  </si>
  <si>
    <t>12.1.33</t>
  </si>
  <si>
    <t>TE, PVC, SOLDÁVEL, DN 25MM, INSTALADO EM RAMAL OU SUB-RAMAL DE ÁGUA - FORNECIMENTO E INSTALAÇÃO. AF_06/2022</t>
  </si>
  <si>
    <t>12.1.34</t>
  </si>
  <si>
    <t>TE, PVC, SOLDÁVEL, DN 50MM, INSTALADO EM PRUMADA DE ÁGUA - FORNECIMENTO E INSTALAÇÃO. AF_06/2022</t>
  </si>
  <si>
    <t>12.1.35</t>
  </si>
  <si>
    <t>TE, PVC, SOLDÁVEL, DN 75MM, INSTALADO EM PRUMADA DE ÁGUA - FORNECIMENTO E INSTALAÇÃO. AF_06/2022</t>
  </si>
  <si>
    <t>12.1.36</t>
  </si>
  <si>
    <t>TE, PVC, SOLDÁVEL, DN 85MM, INSTALADO EM PRUMADA DE ÁGUA - FORNECIMENTO E INSTALAÇÃO. AF_06/2022</t>
  </si>
  <si>
    <t>12.1.37</t>
  </si>
  <si>
    <t>TÊ DE REDUÇÃO, PVC, SOLDÁVEL, DN 50MM X 25MM, INSTALADO EM PRUMADA DE ÁGUA - FORNECIMENTO E INSTALAÇÃO. AF_06/2022</t>
  </si>
  <si>
    <t>12.1.38</t>
  </si>
  <si>
    <t>TE DE REDUÇÃO, PVC, SOLDÁVEL, DN 75MM X 50MM, INSTALADO EM PRUMADA DE ÁGUA - FORNECIMENTO E INSTALAÇÃO. AF_06/2022</t>
  </si>
  <si>
    <t>12.1.39</t>
  </si>
  <si>
    <t>12.1.40</t>
  </si>
  <si>
    <t>FNDE 208</t>
  </si>
  <si>
    <t>TÊ DE REDUÇÃO, PVC, SOLDÁVEL, DN 75MM X 60 MM, INSTALADO EM PRUMADA DE ÁGUA - FORNECIMENTO E INSTALAÇÃO.</t>
  </si>
  <si>
    <t>12.1.41</t>
  </si>
  <si>
    <t>TÊ COM BUCHA DE LATÃO NA BOLSA CENTRAL, PVC, SOLDÁVEL, DN 25MM X 3/4 , INSTALADO EM RAMAL OU SUB-RAMAL DE ÁGUA - FORNECIMENTO E INSTALAÇÃO. AF_06/2022</t>
  </si>
  <si>
    <t>12.1.42</t>
  </si>
  <si>
    <t>TÊ COM BUCHA DE LATÃO NA BOLSA CENTRAL, PVC, SOLDÁVEL, DN 25MM X 1/2 , INSTALADO EM RAMAL OU SUB-RAMAL DE ÁGUA - FORNECIMENTO E INSTALAÇÃO. AF_06/2022</t>
  </si>
  <si>
    <t>12.2</t>
  </si>
  <si>
    <t>TUBULAÇÕES E CONEXÕES - METAIS</t>
  </si>
  <si>
    <t>12.2.1</t>
  </si>
  <si>
    <t>REGISTRO DE GAVETA BRUTO, LATÃO, ROSCÁVEL, 2 1/2" - FORNECIMENTO E INSTALAÇÃO. AF_08/2021</t>
  </si>
  <si>
    <t>12.2.2</t>
  </si>
  <si>
    <t>REGISTRO DE GAVETA BRUTO, LATÃO, ROSCÁVEL, 3" - FORNECIMENTO E INSTALAÇÃO. AF_08/2021</t>
  </si>
  <si>
    <t>12.2.3</t>
  </si>
  <si>
    <t>REGISTRO DE GAVETA BRUTO, LATÃO, ROSCÁVEL, 1/2", COM ACABAMENTO E CANOPLA CROMADOS - FORNECIMENTO E INSTALAÇÃO. AF_08/2021</t>
  </si>
  <si>
    <t>12.2.4</t>
  </si>
  <si>
    <t>REGISTRO DE GAVETA BRUTO, LATÃO, ROSCÁVEL, 1 1/2", COM ACABAMENTO E CANOPLA CROMADOS - FORNECIMENTO E INSTALAÇÃO. AF_08/2021</t>
  </si>
  <si>
    <t>12.2.5</t>
  </si>
  <si>
    <t>REGISTRO DE GAVETA BRUTO, LATÃO, ROSCÁVEL, 3/4", COM ACABAMENTO E CANOPLA CROMADOS - FORNECIMENTO E INSTALAÇÃO. AF_08/2021</t>
  </si>
  <si>
    <t>12.2.6</t>
  </si>
  <si>
    <t>REGISTRO DE PRESSÃO BRUTO, LATÃO, ROSCÁVEL, 3/4", COM ACABAMENTO E CANOPLA CROMADOS - FORNECIMENTO E INSTALAÇÃO. AF_08/2021</t>
  </si>
  <si>
    <t>12.3</t>
  </si>
  <si>
    <t>RESERVATÓRIO 15.000 L</t>
  </si>
  <si>
    <t>12.3.1</t>
  </si>
  <si>
    <t>FNDE 391</t>
  </si>
  <si>
    <t>RESERVATÓRIO CILINDRICO CAP. 15.000 LITROS</t>
  </si>
  <si>
    <t>DRENAGEM DE ÁGUAS PLUVIAIS</t>
  </si>
  <si>
    <t>13.1</t>
  </si>
  <si>
    <t>TUBULAÇÕES E CONEXÕES DE PVC</t>
  </si>
  <si>
    <t>13.1.1</t>
  </si>
  <si>
    <t>TUBO PVC, SÉRIE R, ÁGUA PLUVIAL, DN 100 MM, FORNECIDO E INSTALADO EM CONDUTORES VERTICAIS DE ÁGUAS PLUVIAIS. AF_06/2022</t>
  </si>
  <si>
    <t>13.1.2</t>
  </si>
  <si>
    <t>TUBO PVC, SÉRIE R, ÁGUA PLUVIAL, DN 150 MM, FORNECIDO E INSTALADO EM CONDUTORES VERTICAIS DE ÁGUAS PLUVIAIS. AF_06/2022</t>
  </si>
  <si>
    <t>13.1.3</t>
  </si>
  <si>
    <t>JOELHO 45 GRAUS, PVC, SERIE R, ÁGUA PLUVIAL, DN 100 MM, JUNTA ELÁSTICA, FORNECIDO E INSTALADO EM CONDUTORES VERTICAIS DE ÁGUAS PLUVIAIS. AF_06/2022</t>
  </si>
  <si>
    <t>13.1.4</t>
  </si>
  <si>
    <t>JOELHO 90 GRAUS, PVC, SERIE R, ÁGUA PLUVIAL, DN 100 MM, JUNTA ELÁSTICA, FORNECIDO E INSTALADO EM CONDUTORES VERTICAIS DE ÁGUAS PLUVIAIS. AF_06/2022</t>
  </si>
  <si>
    <t>13.1.5</t>
  </si>
  <si>
    <t>JUNÇÃO SIMPLES, PVC, SERIE R, ÁGUA PLUVIAL, DN 100 X 100 MM, JUNTA ELÁSTICA, FORNECIDO E INSTALADO EM RAMAL DE ENCAMINHAMENTO. AF_06/2022</t>
  </si>
  <si>
    <t>13.1.6</t>
  </si>
  <si>
    <t>TÊ DE INSPEÇÃO, PVC, SERIE R, ÁGUA PLUVIAL, DN 100 MM, JUNTA ELÁSTICA, FORNECIDO E INSTALADO EM CONDUTORES VERTICAIS DE ÁGUAS PLUVIAIS. AF_06/2022</t>
  </si>
  <si>
    <t>13.2</t>
  </si>
  <si>
    <t>ACESSÓRIOS</t>
  </si>
  <si>
    <t>13.2.1</t>
  </si>
  <si>
    <t>CAIXA ENTERRADA HIDRÁULICA RETANGULAR EM ALVENARIA COM TIJOLOS CERÂMICOS MACIÇOS, DIMENSÕES INTERNAS: 0,6X0,6X0,6 M PARA REDE DE DRENAGEM. AF_12/2020</t>
  </si>
  <si>
    <t>13.2.2</t>
  </si>
  <si>
    <t>CAIXA SIFONADA, PVC, DN 100 X 100 X 50 MM, FORNECIDA E INSTALADA EM RAMAIS DE ENCAMINHAMENTO DE ÁGUA PLUVIAL. AF_06/2022</t>
  </si>
  <si>
    <t>INSTALAÇÃO SANITÁRIA</t>
  </si>
  <si>
    <t>14.1</t>
  </si>
  <si>
    <t>TUBULAÇÕES E CONEXÕES</t>
  </si>
  <si>
    <t>14.1.1</t>
  </si>
  <si>
    <t>TUBO PVC, SERIE NORMAL, ESGOTO PREDIAL, DN 100 MM, FORNECIDO E INSTALADO EM RAMAL DE DESCARGA OU RAMAL DE ESGOTO SANITÁRIO. AF_08/2022</t>
  </si>
  <si>
    <t>14.1.2</t>
  </si>
  <si>
    <t>TUBO PVC, SERIE NORMAL, ESGOTO PREDIAL, DN 40 MM, FORNECIDO E INSTALADO EM RAMAL DE DESCARGA OU RAMAL DE ESGOTO SANITÁRIO. AF_08/2022</t>
  </si>
  <si>
    <t>14.1.3</t>
  </si>
  <si>
    <t>TUBO PVC, SERIE NORMAL, ESGOTO PREDIAL, DN 50 MM, FORNECIDO E INSTALADO EM RAMAL DE DESCARGA OU RAMAL DE ESGOTO SANITÁRIO. AF_08/2022</t>
  </si>
  <si>
    <t>14.1.4</t>
  </si>
  <si>
    <t>TUBO PVC, SERIE NORMAL, ESGOTO PREDIAL, DN 75 MM, FORNECIDO E INSTALADO EM RAMAL DE DESCARGA OU RAMAL DE ESGOTO SANITÁRIO. AF_08/2022</t>
  </si>
  <si>
    <t>14.1.5</t>
  </si>
  <si>
    <t>JOELHO 45 GRAUS, PVC, SERIE NORMAL, ESGOTO PREDIAL, DN 40 MM, JUNTA SOLDÁVEL, FORNECIDO E INSTALADO EM RAMAL DE DESCARGA OU RAMAL DE ESGOTO SANITÁRIO. AF_08/2022</t>
  </si>
  <si>
    <t>14.1.6</t>
  </si>
  <si>
    <t>JOELHO 45 GRAUS, PVC, SERIE NORMAL, ESGOTO PREDIAL, DN 50 MM, JUNTA ELÁSTICA, FORNECIDO E INSTALADO EM RAMAL DE DESCARGA OU RAMAL DE ESGOTO SANITÁRIO. AF_08/2022</t>
  </si>
  <si>
    <t>14.1.7</t>
  </si>
  <si>
    <t>JOELHO 45 GRAUS, PVC, SERIE NORMAL, ESGOTO PREDIAL, DN 75 MM, JUNTA ELÁSTICA, FORNECIDO E INSTALADO EM RAMAL DE DESCARGA OU RAMAL DE ESGOTO SANITÁRIO. AF_08/2022</t>
  </si>
  <si>
    <t>14.1.8</t>
  </si>
  <si>
    <t>JOELHO 45 GRAUS, PVC, SERIE NORMAL, ESGOTO PREDIAL, DN 100 MM, JUNTA ELÁSTICA, FORNECIDO E INSTALADO EM RAMAL DE DESCARGA OU RAMAL DE ESGOTO SANITÁRIO. AF_08/2022</t>
  </si>
  <si>
    <t>14.1.9</t>
  </si>
  <si>
    <t>JOELHO 90 GRAUS, PVC, SERIE NORMAL, ESGOTO PREDIAL, DN 100 MM, JUNTA ELÁSTICA, FORNECIDO E INSTALADO EM RAMAL DE DESCARGA OU RAMAL DE ESGOTO SANITÁRIO. AF_08/2022</t>
  </si>
  <si>
    <t>14.1.10</t>
  </si>
  <si>
    <t>JOELHO 90 GRAUS, PVC, SERIE NORMAL, ESGOTO PREDIAL, DN 75 MM, JUNTA ELÁSTICA, FORNECIDO E INSTALADO EM RAMAL DE DESCARGA OU RAMAL DE ESGOTO SANITÁRIO. AF_08/2022</t>
  </si>
  <si>
    <t>14.1.11</t>
  </si>
  <si>
    <t>JOELHO 90 GRAUS, PVC, SERIE NORMAL, ESGOTO PREDIAL, DN 50 MM, JUNTA ELÁSTICA, FORNECIDO E INSTALADO EM RAMAL DE DESCARGA OU RAMAL DE ESGOTO SANITÁRIO. AF_08/2022</t>
  </si>
  <si>
    <t>14.1.12</t>
  </si>
  <si>
    <t>JOELHO 90 GRAUS, PVC, SERIE NORMAL, ESGOTO PREDIAL, DN 40 MM, JUNTA SOLDÁVEL, FORNECIDO E INSTALADO EM RAMAL DE DESCARGA OU RAMAL DE ESGOTO SANITÁRIO. AF_08/2022</t>
  </si>
  <si>
    <t>14.1.13</t>
  </si>
  <si>
    <t>FNDE 209</t>
  </si>
  <si>
    <t>JUNÇÃO SIMPLES, PVC, SERIE NORMAL, ESGOTO PREDIAL, DN 100 X 50 MM, JUNTA ELÁSTICA, FORNECIDO E INSTALADO EM PRUMADA DE ESGOTO SANITÁRIO OU VENTILAÇÃO</t>
  </si>
  <si>
    <t>14.1.14</t>
  </si>
  <si>
    <t>JUNÇÃO SIMPLES, PVC, SERIE NORMAL, ESGOTO PREDIAL, DN 100 X 100 MM, JUNTA ELÁSTICA, FORNECIDO E INSTALADO EM PRUMADA DE ESGOTO SANITÁRIO OU VENTILAÇÃO. AF_08/2022</t>
  </si>
  <si>
    <t>14.1.15</t>
  </si>
  <si>
    <t>FNDE 210</t>
  </si>
  <si>
    <t>JUNÇÃO SIMPLES, PVC, SERIE NORMAL, ESGOTO PREDIAL, DN 75 X 50 MM, JUNTA ELÁSTICA, FORNECIDO E INSTALADO EM RAMAL DE DESCARGA OU RAMAL DE ESGOTO SANITÁRIO</t>
  </si>
  <si>
    <t>14.1.16</t>
  </si>
  <si>
    <t>JUNÇÃO SIMPLES, PVC, SERIE NORMAL, ESGOTO PREDIAL, DN 50 X 50 MM, JUNTA ELÁSTICA, FORNECIDO E INSTALADO EM PRUMADA DE ESGOTO SANITÁRIO OU VENTILAÇÃO. AF_08/2022</t>
  </si>
  <si>
    <t>14.1.17</t>
  </si>
  <si>
    <t>REDUÇÃO EXCÊNTRICA, PVC, SERIE R, ÁGUA PLUVIAL, DN 100 X 75 MM, JUNTA ELÁSTICA, FORNECIDO E INSTALADO EM RAMAL DE ENCAMINHAMENTO. AF_06/2022</t>
  </si>
  <si>
    <t>14.1.18</t>
  </si>
  <si>
    <t>14.1.19</t>
  </si>
  <si>
    <t>CAIXA SIFONADA, PVC, DN 150 X 185 X 75 MM, JUNTA ELÁSTICA, FORNECIDA E INSTALADA EM RAMAL DE DESCARGA OU EM RAMAL DE ESGOTO SANITÁRIO. AF_08/2022</t>
  </si>
  <si>
    <t>14.1.20</t>
  </si>
  <si>
    <t>TÊ, PVC, SERIE R, ÁGUA PLUVIAL, DN 100 X 75 MM, JUNTA ELÁSTICA, FORNECIDO E INSTALADO EM CONDUTORES VERTICAIS DE ÁGUAS PLUVIAIS. AF_06/2022</t>
  </si>
  <si>
    <t>14.1.21</t>
  </si>
  <si>
    <t>FNDE 214</t>
  </si>
  <si>
    <t>TÊ, PVC, SERIE R, ÁGUA PLUVIAL, DN 100 X 50 MM, JUNTA ELÁSTICA, FORNECIDO E INSTALADO EM CONDUTORES VERTICAIS DE ÁGUAS PLUVIAIS</t>
  </si>
  <si>
    <t>14.1.22</t>
  </si>
  <si>
    <t>TE, PVC, SERIE NORMAL, ESGOTO PREDIAL, DN 50 X 50 MM, JUNTA ELÁSTICA, FORNECIDO E INSTALADO EM RAMAL DE DESCARGA OU RAMAL DE ESGOTO SANITÁRIO. AF_08/2022</t>
  </si>
  <si>
    <t>14.1.23</t>
  </si>
  <si>
    <t>TÊ, PVC, SERIE R, ÁGUA PLUVIAL, DN 75 X 75 MM, JUNTA ELÁSTICA, FORNECIDO E INSTALADO EM CONDUTORES VERTICAIS DE ÁGUAS PLUVIAIS. AF_06/2022</t>
  </si>
  <si>
    <t>14.1.24</t>
  </si>
  <si>
    <t>TE, PVC, SOLDÁVEL, DN 40MM, INSTALADO EM PRUMADA DE ÁGUA - FORNECIMENTO E INSTALAÇÃO. AF_06/2022</t>
  </si>
  <si>
    <t>14.1.25</t>
  </si>
  <si>
    <t>RALO SECO, PVC, DN 100 X 40 MM, JUNTA SOLDÁVEL, FORNECIDO E INSTALADO EM RAMAL DE DESCARGA OU EM RAMAL DE ESGOTO SANITÁRIO. AF_08/2022</t>
  </si>
  <si>
    <t>14.1.26</t>
  </si>
  <si>
    <t>FNDE 50</t>
  </si>
  <si>
    <t>RALO LINEAR,  COM GRELHA INOX, JUNTA SOLDÁVEL, FORNECIDO E INSTALADO EM RAMAL DE DESCARGA OU EM RAMAL DE ESGOTO SANITÁRIO</t>
  </si>
  <si>
    <t>14.1.27</t>
  </si>
  <si>
    <t>TERMINAL DE VENTILAÇÃO, PVC, SÉRIE NORMAL, ESGOTO PREDIAL, DN 75 MM, JUNTA SOLDÁVEL, FORNECIDO E INSTALADO EM PRUMADA DE ESGOTO SANITÁRIO OU VENTILAÇÃO. AF_08/2022</t>
  </si>
  <si>
    <t>14.1.28</t>
  </si>
  <si>
    <t>TERMINAL DE VENTILAÇÃO, PVC, SÉRIE NORMAL, ESGOTO PREDIAL, DN 50 MM, JUNTA SOLDÁVEL, FORNECIDO E INSTALADO EM PRUMADA DE ESGOTO SANITÁRIO OU VENTILAÇÃO. AF_08/2022</t>
  </si>
  <si>
    <t>14.1.29</t>
  </si>
  <si>
    <t>BUCHA DE REDUÇÃO LONGA, PVC, SÉRIE NORMAL, ESGOTO PREDIAL, DN 50 X 40 MM, JUNTA SOLDÁVEL E ELÁSTICA, FORNECIDO E INSTALADO EM RAMAL DE DESCARGA OU RAMAL DE ESGOTO SANITÁRIO. AF_08/2022</t>
  </si>
  <si>
    <t>14.2</t>
  </si>
  <si>
    <t>UNIDADE DE TRATAMENTO</t>
  </si>
  <si>
    <t>14.2.1</t>
  </si>
  <si>
    <t>TANQUE SÉPTICO RETANGULAR, EM ALVENARIA COM BLOCOS DE CONCRETO, DIMENSÕES INTERNAS: 1,6 X 4,6 X H=2,4 M, VOLUME ÚTIL: 14720 L (PARA 105 CONTRIBUINTES). AF_12/2020</t>
  </si>
  <si>
    <t>14.2.2</t>
  </si>
  <si>
    <t>SUMIDOURO CIRCULAR, EM CONCRETO PRÉ-MOLDADO, DIÂMETRO INTERNO = 2,88 M, ALTURA INTERNA = 3,0 M, ÁREA DE INFILTRAÇÃO: 31,4 M² (PARA 12 CONTRIBUINTES). AF_12/2020_PA</t>
  </si>
  <si>
    <t>14.2.3</t>
  </si>
  <si>
    <t>FILTRO ANAERÓBIO RETANGULAR, EM ALVENARIA COM BLOCOS DE CONCRETO, DIMENSÕES INTERNAS: 1,4 X 3,0 X H=1,67 M, VOLUME ÚTIL: 5040 L (PARA 32 CONTRIBUINTES). AF_12/2020</t>
  </si>
  <si>
    <t>LOUÇAS, ACESSÓRIOS E METAIS</t>
  </si>
  <si>
    <t>15.1</t>
  </si>
  <si>
    <t>VASO SANITARIO SIFONADO CONVENCIONAL COM LOUÇA BRANCA, INCLUSO CONJUNTO DE LIGAÇÃO PARA BACIA SANITÁRIA AJUSTÁVEL - FORNECIMENTO E INSTALAÇÃO. AF_10/2016</t>
  </si>
  <si>
    <t>15.2</t>
  </si>
  <si>
    <t>VASO SANITÁRIO INFANTIL LOUÇA BRANCA - FORNECIMENTO E INSTALACAO. AF_01/2020</t>
  </si>
  <si>
    <t>15.3</t>
  </si>
  <si>
    <t>ASSENTO SANITÁRIO CONVENCIONAL - FORNECIMENTO E INSTALACAO. AF_01/2020</t>
  </si>
  <si>
    <t>15.4</t>
  </si>
  <si>
    <t>ASSENTO SANITÁRIO INFANTIL - FORNECIMENTO E INSTALACAO. AF_01/2020</t>
  </si>
  <si>
    <t>15.5</t>
  </si>
  <si>
    <t>FNDE 11</t>
  </si>
  <si>
    <t>BANHEIRA PLÁSTICA RÍGIDA, 77x45x20cm DE EMBUTIR, CONFORME DETALHE DE PROJETO</t>
  </si>
  <si>
    <t>15.6</t>
  </si>
  <si>
    <t>FNDE 219</t>
  </si>
  <si>
    <t>LAVATÓRIO DE CANTO, LOUÇA BRANCA SUSPENSO, 29,5 X 39CM OU EQUIVALENTE, PADRÃO POPULAR - FORNECIMENTO E INSTALAÇÃO</t>
  </si>
  <si>
    <t>15.7</t>
  </si>
  <si>
    <t>CUBA DE EMBUTIR OVAL EM LOUÇA BRANCA, 35 X 50CM OU EQUIVALENTE - FORNECIMENTO E INSTALAÇÃO. AF_01/2020</t>
  </si>
  <si>
    <t>15.8</t>
  </si>
  <si>
    <t>LAVATÓRIO LOUÇA BRANCA COM COLUNA, *44 X 35,5* CM, PADRÃO POPULAR - FORNECIMENTO E INSTALAÇÃO. AF_01/2020</t>
  </si>
  <si>
    <t>15.9</t>
  </si>
  <si>
    <t>TANQUE DE LOUÇA BRANCA COM COLUNA, 30L OU EQUIVALENTE - FORNECIMENTO E INSTALAÇÃO. AF_01/2020</t>
  </si>
  <si>
    <t>15.10</t>
  </si>
  <si>
    <t>CUBA DE EMBUTIR RETANGULAR DE AÇO INOXIDÁVEL, 46 X 30 X 12 CM - FORNECIMENTO E INSTALAÇÃO. AF_01/2020</t>
  </si>
  <si>
    <t>15.11</t>
  </si>
  <si>
    <t>FNDE 217</t>
  </si>
  <si>
    <t>CUBA DE EMBUTIR RETANGULAR DE AÇO INOXIDÁVEL, 50 X 40 X 20 CM - FORNECIMENTO E INSTALAÇÃO</t>
  </si>
  <si>
    <t>15.12</t>
  </si>
  <si>
    <t>CUBA DE EMBUTIR RETANGULAR DE AÇO INOXIDÁVEL, 56 X 33 X 12 CM - FORNECIMENTO E INSTALAÇÃO. AF_01/2020</t>
  </si>
  <si>
    <t>15.13</t>
  </si>
  <si>
    <t>VÁLVULA EM METAL CROMADO 1.1/2" X 1.1/2" PARA TANQUE OU LAVATÓRIO, COM OU SEM LADRÃO - FORNECIMENTO E INSTALAÇÃO. AF_01/2020</t>
  </si>
  <si>
    <t>15.14</t>
  </si>
  <si>
    <t>SIFÃO DO TIPO FLEXÍVEL EM PVC 1  X 1.1/2  - FORNECIMENTO E INSTALAÇÃO. AF_01/2020</t>
  </si>
  <si>
    <t>15.15</t>
  </si>
  <si>
    <t>TORNEIRA CROMADA TUBO MÓVEL, DE MESA, 1/2" OU 3/4", PARA PIA DE COZINHA, PADRÃO ALTO - FORNECIMENTO E INSTALAÇÃO. AF_01/2020</t>
  </si>
  <si>
    <t>15.16</t>
  </si>
  <si>
    <t>FNDE 224</t>
  </si>
  <si>
    <t>TORNEIRA CROMADA DE MESA, 1/2? OU 3/4?, PARA LAVATÓRIO, COM TEMPORIZADOR - FORNECIMENTO E INSTALAÇÃO.</t>
  </si>
  <si>
    <t>15.17</t>
  </si>
  <si>
    <t>FNDE 14</t>
  </si>
  <si>
    <t>TORNEIRA ELETRICA DE PAREDE, BICA ALTA, PARA COZINHA, 5500 W (110/220 V)</t>
  </si>
  <si>
    <t>15.18</t>
  </si>
  <si>
    <t>TORNEIRA CROMADA 1/2" OU 3/4" PARA TANQUE, PADRÃO POPULAR - FORNECIMENTO E INSTALAÇÃO. AF_01/2020</t>
  </si>
  <si>
    <t>15.19</t>
  </si>
  <si>
    <t>FNDE 225</t>
  </si>
  <si>
    <t>TORNEIRA CROMADA DE MESA PARA LAVATORIO, TIPO MONOCOMANDO - ACIONAMENTO TIPO ALAVANCA</t>
  </si>
  <si>
    <t>15.20</t>
  </si>
  <si>
    <t>FNDE 13</t>
  </si>
  <si>
    <t>TORNEIRA ELÉTRICA COM MANGUEIRA PLÁSTICA FORTTI MAXI, LORENZETTIOU EQUIVALENTE</t>
  </si>
  <si>
    <t>15.21</t>
  </si>
  <si>
    <t>ENGATE FLEXÍVEL EM INOX, 1/2  X 40CM - FORNECIMENTO E INSTALAÇÃO. AF_01/2020</t>
  </si>
  <si>
    <t>15.22</t>
  </si>
  <si>
    <t>CHUVEIRO ELÉTRICO COMUM CORPO PLÁSTICO, TIPO DUCHA - FORNECIMENTO E INSTALAÇÃO. AF_01/2020</t>
  </si>
  <si>
    <t>15.23</t>
  </si>
  <si>
    <t>FNDE 226</t>
  </si>
  <si>
    <t>BARRA DE APOIO RETA, EM ACO INOX POLIDO, COMPRIMENTO 40CM, FIXADA NA PAREDE - FORNECIMENTO E INSTALAÇÃO</t>
  </si>
  <si>
    <t>15.24</t>
  </si>
  <si>
    <t>BARRA DE APOIO RETA, EM ACO INOX POLIDO, COMPRIMENTO 70 CM,  FIXADA NA PAREDE - FORNECIMENTO E INSTALAÇÃO. AF_01/2020</t>
  </si>
  <si>
    <t>15.25</t>
  </si>
  <si>
    <t>BARRA DE APOIO RETA, EM ACO INOX POLIDO, COMPRIMENTO 80 CM,  FIXADA NA PAREDE - FORNECIMENTO E INSTALAÇÃO. AF_01/2020</t>
  </si>
  <si>
    <t>15.26</t>
  </si>
  <si>
    <t>BANCO ARTICULADO, EM ACO INOX, PARA PCD, FIXADO NA PAREDE - FORNECIMENTO E INSTALAÇÃO. AF_01/2020</t>
  </si>
  <si>
    <t>15.27</t>
  </si>
  <si>
    <t>FNDE 215</t>
  </si>
  <si>
    <t>VÁLVULA DE DESCARGA METÁLICA, DUPLO ACIONAMENTO ECO, BASE 1 1/2", ACABAMENTO METALICO CROMADO - FORNECIMENTO E INSTALAÇÃO</t>
  </si>
  <si>
    <t>15.28</t>
  </si>
  <si>
    <t>FNDE 15</t>
  </si>
  <si>
    <t>TOALHEIRO PLASTICO TIPO DISPENSER PARA PAPEL TOALHA INTERFOLHADO</t>
  </si>
  <si>
    <t>15.29</t>
  </si>
  <si>
    <t>FNDE 16</t>
  </si>
  <si>
    <t>PAPELEIRA PLASTICA TIPO DISPENSER PARA PAPEL HIGIENICO ROLAO</t>
  </si>
  <si>
    <t>15.30</t>
  </si>
  <si>
    <t>SABONETEIRA PLASTICA TIPO DISPENSER PARA SABONETE LIQUIDO COM RESERVATORIO 800 A 1500 ML, INCLUSO FIXAÇÃO. AF_01/2020</t>
  </si>
  <si>
    <t>15.31</t>
  </si>
  <si>
    <t>FNDE 12</t>
  </si>
  <si>
    <t>ESPELHO CRISTAL, ESPESSURA 4MM, COM PARAFUSOS DE FIXAÇÃO, SEM MOLDURA</t>
  </si>
  <si>
    <t>15.32</t>
  </si>
  <si>
    <t>FNDE 17</t>
  </si>
  <si>
    <t>DUCHA / CHUVEIRO METALICO, DE PAREDE, ARTICULAVEL, COM DESVIADOR E DUCHA MANUAL</t>
  </si>
  <si>
    <t>15.33</t>
  </si>
  <si>
    <t>FNDE 34</t>
  </si>
  <si>
    <t>CABIDE/GANCHO DE BANHEIRO SIMPLES EM METAL CROMADO</t>
  </si>
  <si>
    <t>15.34</t>
  </si>
  <si>
    <t>FNDE 449</t>
  </si>
  <si>
    <t>BARRA METÁLICA COM PINTURA CINZA PARA PROTEÇÃO DOS ESPELHOS E CHUVEIRO INFANTIL</t>
  </si>
  <si>
    <t>INSTALAÇÃO DE GÁS COMBUSTÍVEL</t>
  </si>
  <si>
    <t>16.1</t>
  </si>
  <si>
    <t>FNDE 29</t>
  </si>
  <si>
    <t>REGULADOR DE ALTA PRESSÃO GLP</t>
  </si>
  <si>
    <t>16.2</t>
  </si>
  <si>
    <t>REGISTRO OU REGULADOR DE GÁS DE COZINHA - FORNECIMENTO E INSTALAÇÃO. AF_08/2021</t>
  </si>
  <si>
    <t>16.3</t>
  </si>
  <si>
    <t>TUBO DE AÇO GALVANIZADO COM COSTURA, CLASSE MÉDIA, CONEXÃO ROSQUEADA, DN 20 (3/4"), INSTALADO EM RAMAIS E SUB-RAMAIS DE GÁS - FORNECIMENTO E INSTALAÇÃO. AF_10/2020</t>
  </si>
  <si>
    <t>16.4</t>
  </si>
  <si>
    <t>FNDE 301</t>
  </si>
  <si>
    <t>CAP OU TAMPAO DE FERRO GALVANIZADO, COM ROSCA BSP, DE 3/4"</t>
  </si>
  <si>
    <t>16.5</t>
  </si>
  <si>
    <t>FNDE 260</t>
  </si>
  <si>
    <t>MANGUEIRA PARA GAS - GLP</t>
  </si>
  <si>
    <t>16.6</t>
  </si>
  <si>
    <t>VÁLVULA DE ESFERA BRUTA, BRONZE, ROSCÁVEL, 1/2" - FORNECIMENTO E INSTALAÇÃO. AF_08/2021</t>
  </si>
  <si>
    <t>16.7</t>
  </si>
  <si>
    <t>VÁLVULA DE ESFERA BRUTA, BRONZE, ROSCÁVEL, 3/4'' - FORNECIMENTO E INSTALAÇÃO. AF_08/2021</t>
  </si>
  <si>
    <t>16.8</t>
  </si>
  <si>
    <t>TÊ, EM FERRO GALVANIZADO, CONEXÃO ROSQUEADA, DN 20 (3/4"), INSTALADO EM RAMAIS E SUB-RAMAIS DE GÁS - FORNECIMENTO E INSTALAÇÃO. AF_10/2020</t>
  </si>
  <si>
    <t>16.9</t>
  </si>
  <si>
    <t>LUVA, EM FERRO GALVANIZADO, CONEXÃO ROSQUEADA, DN 20 (3/4"), INSTALADO EM RAMAIS E SUB-RAMAIS DE GÁS - FORNECIMENTO E INSTALAÇÃO. AF_10/2020</t>
  </si>
  <si>
    <t>16.10</t>
  </si>
  <si>
    <t>CURVA 45 GRAUS, EM AÇO, CONEXÃO SOLDADA, DN 20 (3/4"), INSTALADO EM RAMAIS E SUB-RAMAIS DE GÁS - FORNECIMENTO E INSTALAÇÃO. AF_10/2020</t>
  </si>
  <si>
    <t>16.11</t>
  </si>
  <si>
    <t>CURVA 90 GRAUS, EM AÇO, CONEXÃO SOLDADA, DN 20 (3/4"), INSTALADO EM RAMAIS E SUB-RAMAIS DE GÁS - FORNECIMENTO E INSTALAÇÃO. AF_10/2020</t>
  </si>
  <si>
    <t>16.12</t>
  </si>
  <si>
    <t>CURVA 90 GRAUS, EM AÇO, CONEXÃO SOLDADA, DN 15 (1/2"), INSTALADO EM RAMAIS E SUB-RAMAIS DE GÁS - FORNECIMENTO E INSTALAÇÃO. AF_10/2020</t>
  </si>
  <si>
    <t>16.13</t>
  </si>
  <si>
    <t>FNDE 302</t>
  </si>
  <si>
    <t>REQUADRO EM ALUMÍNIO TIPO VENEZIANA COM GUARNIÇÃO, FIXAÇÃO COM PARAFUSOS - FORNECIMENTO E INSTALAÇÃO.</t>
  </si>
  <si>
    <t>SISTEMA DE PROTEÇÃO CONTRA INCÊNDIO</t>
  </si>
  <si>
    <t>17.1</t>
  </si>
  <si>
    <t>EXTINTORES</t>
  </si>
  <si>
    <t>17.1.1</t>
  </si>
  <si>
    <t>EXTINTOR DE INCÊNDIO PORTÁTIL COM CARGA DE PQS DE 6 KG, CLASSE BC - FORNECIMENTO E INSTALAÇÃO. AF_10/2020_PE</t>
  </si>
  <si>
    <t>17.1.2</t>
  </si>
  <si>
    <t>EXTINTOR DE INCÊNDIO PORTÁTIL COM CARGA DE CO2 DE 6 KG, CLASSE BC - FORNECIMENTO E INSTALAÇÃO. AF_10/2020_PE</t>
  </si>
  <si>
    <t>17.2</t>
  </si>
  <si>
    <t>HIDRANTES</t>
  </si>
  <si>
    <t>17.2.1</t>
  </si>
  <si>
    <t>ABRIGO PARA HIDRANTE, 75X45X17CM, COM REGISTRO GLOBO ANGULAR 45 GRAUS 2 1/2", ADAPTADOR STORZ 2 1/2", MANGUEIRA DE INCÊNDIO 15M 2 1/2" E ESGUICHO EM LATÃO 2 1/2" - FORNECIMENTO E INSTALAÇÃO. AF_10/2020</t>
  </si>
  <si>
    <t>17.2.2</t>
  </si>
  <si>
    <t>17.3</t>
  </si>
  <si>
    <t>17.3.1</t>
  </si>
  <si>
    <t>17.3.2</t>
  </si>
  <si>
    <t>VÁLVULA DE RETENÇÃO HORIZONTAL, DE BRONZE, ROSCÁVEL, 2 1/2" - FORNECIMENTO E INSTALAÇÃO. AF_08/2021</t>
  </si>
  <si>
    <t>17.3.3</t>
  </si>
  <si>
    <t>MANÔMETRO 0 A 200 PSI (0 A 14 KGF/CM2), D = 50MM - FORNECIMENTO E INSTALAÇÃO. AF_10/2020</t>
  </si>
  <si>
    <t>17.3.4</t>
  </si>
  <si>
    <t>FNDE 332</t>
  </si>
  <si>
    <t>MOTOBOMBA CENTRIFUGA</t>
  </si>
  <si>
    <t>17.3.5</t>
  </si>
  <si>
    <t>FNDE 112</t>
  </si>
  <si>
    <t>PRESSOSTATO</t>
  </si>
  <si>
    <t>17.3.6</t>
  </si>
  <si>
    <t>FNDE 114</t>
  </si>
  <si>
    <t>VÁLVULA DE ALÍVIO</t>
  </si>
  <si>
    <t>un</t>
  </si>
  <si>
    <t>17.3.7</t>
  </si>
  <si>
    <t>BOMBA CENTRÍFUGA, MONOFÁSICA, 0,5 CV OU 0,49 HP, HM 6 A 20 M, Q 1,2 A 8,3 M3/H - FORNECIMENTO E INSTALAÇÃO. AF_12/2020</t>
  </si>
  <si>
    <t>17.3.8</t>
  </si>
  <si>
    <t>FNDE 67</t>
  </si>
  <si>
    <t>CENTRAL ALARME ENDEREÇAVEL</t>
  </si>
  <si>
    <t>17.4</t>
  </si>
  <si>
    <t>17.4.1</t>
  </si>
  <si>
    <t>COTOVELO 90 GRAUS, EM FERRO GALVANIZADO, CONEXÃO ROSQUEADA, DN 65 (2 1/2"), INSTALADO EM RESERVAÇÃO DE ÁGUA DE EDIFICAÇÃO QUE POSSUA RESERVATÓRIO DE FIBRA/FIBROCIMENTO - FORNECIMENTO E INSTALAÇÃO. AF_06/2016</t>
  </si>
  <si>
    <t>17.4.2</t>
  </si>
  <si>
    <t>TUBO DE AÇO GALVANIZADO COM COSTURA, CLASSE MÉDIA, DN 65 (2 1/2"), CONEXÃO ROSQUEADA, INSTALADO EM REDE DE ALIMENTAÇÃO PARA HIDRANTE - FORNECIMENTO E INSTALAÇÃO. AF_10/2020</t>
  </si>
  <si>
    <t>17.4.3</t>
  </si>
  <si>
    <t>17.4.4</t>
  </si>
  <si>
    <t>COTOVELO 45 GRAUS, EM FERRO GALVANIZADO, CONEXÃO ROSQUEADA, DN 65 (2 1/2"), INSTALADO EM RESERVAÇÃO DE ÁGUA DE EDIFICAÇÃO QUE POSSUA RESERVATÓRIO DE FIBRA/FIBROCIMENTO - FORNECIMENTO E INSTALAÇÃO. AF_06/2016</t>
  </si>
  <si>
    <t>17.4.5</t>
  </si>
  <si>
    <t>NIPLE, EM FERRO GALVANIZADO, CONEXÃO ROSQUEADA, DN 65 (2 1/2"), INSTALADO EM REDE DE ALIMENTAÇÃO PARA SPRINKLER - FORNECIMENTO E INSTALAÇÃO. AF_10/2020</t>
  </si>
  <si>
    <t>TÊ, EM FERRO GALVANIZADO, CONEXÃO ROSQUEADA, DN 65 (2 1/2"), INSTALADO EM REDE DE ALIMENTAÇÃO PARA HIDRANTE - FORNECIMENTO E INSTALAÇÃO. AF_10/2020</t>
  </si>
  <si>
    <t>17.5</t>
  </si>
  <si>
    <t>SINALIZAÇÕES</t>
  </si>
  <si>
    <t>17.5.1</t>
  </si>
  <si>
    <t>LUMINÁRIA DE EMERGÊNCIA, COM 30 LÂMPADAS LED DE 2 W, SEM REATOR - FORNECIMENTO E INSTALAÇÃO. AF_02/2020</t>
  </si>
  <si>
    <t>17.5.2</t>
  </si>
  <si>
    <t>FNDE 303</t>
  </si>
  <si>
    <t>SINALIZAÇÃO COM PLACA INDICATIVA FIXADA NA ESTRUTURA.</t>
  </si>
  <si>
    <t>17.5.3</t>
  </si>
  <si>
    <t>PINTURA DE SINALIZAÇÃO VERTICAL DE SEGURANÇA, FAIXAS AMARELA E PRETA, APLICAÇÃO MANUAL, 2 DEMÃOS. AF_05/2021</t>
  </si>
  <si>
    <t>INSTALAÇÃO ELÉTRICA - 220V</t>
  </si>
  <si>
    <t>18.1</t>
  </si>
  <si>
    <t>QUADROS</t>
  </si>
  <si>
    <t>18.1.1</t>
  </si>
  <si>
    <t>QUADRO DE DISTRIBUIÇÃO DE ENERGIA EM CHAPA DE AÇO GALVANIZADO, DE EMBUTIR, COM BARRAMENTO TRIFÁSICO, PARA 12 DISJUNTORES DIN 100A - FORNECIMENTO E INSTALAÇÃO. AF_10/2020</t>
  </si>
  <si>
    <t>18.1.2</t>
  </si>
  <si>
    <t>QUADRO DE DISTRIBUIÇÃO DE ENERGIA EM CHAPA DE AÇO GALVANIZADO, DE EMBUTIR, COM BARRAMENTO TRIFÁSICO, PARA 18 DISJUNTORES DIN 100A - FORNECIMENTO E INSTALAÇÃO. AF_10/2020</t>
  </si>
  <si>
    <t>18.1.3</t>
  </si>
  <si>
    <t>QUADRO DE DISTRIBUIÇÃO DE ENERGIA EM CHAPA DE AÇO GALVANIZADO, DE EMBUTIR, COM BARRAMENTO TRIFÁSICO, PARA 24 DISJUNTORES DIN 100A - FORNECIMENTO E INSTALAÇÃO. AF_10/2020</t>
  </si>
  <si>
    <t>18.1.4</t>
  </si>
  <si>
    <t>QUADRO DE MEDIÇÃO GERAL DE ENERGIA PARA 1 MEDIDOR DE SOBREPOR - FORNECIMENTO E INSTALAÇÃO. AF_10/2020</t>
  </si>
  <si>
    <t>18.2</t>
  </si>
  <si>
    <t>DISJUNTORS</t>
  </si>
  <si>
    <t>18.2.1</t>
  </si>
  <si>
    <t>DISJUNTOR MONOPOLAR TIPO DIN, CORRENTE NOMINAL DE 10A - FORNECIMENTO E INSTALAÇÃO. AF_10/2020</t>
  </si>
  <si>
    <t>18.2.2</t>
  </si>
  <si>
    <t>DISJUNTOR MONOPOLAR TIPO DIN, CORRENTE NOMINAL DE 16A - FORNECIMENTO E INSTALAÇÃO. AF_10/2020</t>
  </si>
  <si>
    <t>18.2.3</t>
  </si>
  <si>
    <t>DISJUNTOR MONOPOLAR TIPO DIN, CORRENTE NOMINAL DE 20A - FORNECIMENTO E INSTALAÇÃO. AF_10/2020</t>
  </si>
  <si>
    <t>18.2.4</t>
  </si>
  <si>
    <t>DISJUNTOR MONOPOLAR TIPO DIN, CORRENTE NOMINAL DE 25A - FORNECIMENTO E INSTALAÇÃO. AF_10/2020</t>
  </si>
  <si>
    <t>18.2.5</t>
  </si>
  <si>
    <t>DISJUNTOR MONOPOLAR TIPO DIN, CORRENTE NOMINAL DE 40A - FORNECIMENTO E INSTALAÇÃO. AF_10/2020</t>
  </si>
  <si>
    <t>18.2.6</t>
  </si>
  <si>
    <t>DISJUNTOR TRIPOLAR TIPO DIN, CORRENTE NOMINAL DE 16A - FORNECIMENTO E INSTALAÇÃO. AF_10/2020</t>
  </si>
  <si>
    <t>18.2.7</t>
  </si>
  <si>
    <t>DISJUNTOR TRIPOLAR TIPO DIN, CORRENTE NOMINAL DE 32A - FORNECIMENTO E INSTALAÇÃO. AF_10/2020</t>
  </si>
  <si>
    <t>18.2.8</t>
  </si>
  <si>
    <t>DISJUNTOR TRIPOLAR TIPO DIN, CORRENTE NOMINAL DE 40A - FORNECIMENTO E INSTALAÇÃO. AF_10/2020</t>
  </si>
  <si>
    <t>18.2.9</t>
  </si>
  <si>
    <t>DISJUNTOR TRIPOLAR TIPO DIN, CORRENTE NOMINAL DE 50A - FORNECIMENTO E INSTALAÇÃO. AF_10/2020</t>
  </si>
  <si>
    <t>18.2.10</t>
  </si>
  <si>
    <t>DISJUNTOR TRIPOLAR TIPO NEMA, CORRENTE NOMINAL DE 60 ATÉ 100A - FORNECIMENTO E INSTALAÇÃO. AF_10/2020</t>
  </si>
  <si>
    <t>18.2.11</t>
  </si>
  <si>
    <t>DISJUNTOR TERMOMAGNÉTICO TRIPOLAR , CORRENTE NOMINAL DE 250A - FORNECIMENTO E INSTALAÇÃO. AF_10/2020</t>
  </si>
  <si>
    <t>18.2.12</t>
  </si>
  <si>
    <t>FNDE 86</t>
  </si>
  <si>
    <t>DISJUNTOR BIPOLAR TIPO DR, CORRENTE NOMINAL DE 25A - 30mA</t>
  </si>
  <si>
    <t>18.2.13</t>
  </si>
  <si>
    <t>FNDE 87</t>
  </si>
  <si>
    <t>DISJUNTOR BIPOLAR TIPO DR, CORRENTE NOMINAL DE 40A - 30mA</t>
  </si>
  <si>
    <t>18.2.14</t>
  </si>
  <si>
    <t>FNDE 88</t>
  </si>
  <si>
    <t>DISPOSITIVO CONTRA SURTO - DPS 40 kA</t>
  </si>
  <si>
    <t>18.2.15</t>
  </si>
  <si>
    <t>FNDE 89</t>
  </si>
  <si>
    <t>DISPOSITIVO CONTRA SURTO - DPS 80 kA</t>
  </si>
  <si>
    <t>18.3</t>
  </si>
  <si>
    <t>ELETRODUTO E ACESSÓRIOS</t>
  </si>
  <si>
    <t>18.3.1</t>
  </si>
  <si>
    <t>ELETRODUTO FLEXÍVEL CORRUGADO, PVC, DN 25 MM (3/4"), PARA CIRCUITOS TERMINAIS, INSTALADO EM FORRO - FORNECIMENTO E INSTALAÇÃO. AF_03/2023</t>
  </si>
  <si>
    <t>18.3.2</t>
  </si>
  <si>
    <t>ELETRODUTO FLEXÍVEL CORRUGADO, PVC, DN 32 MM (1"), PARA CIRCUITOS TERMINAIS, INSTALADO EM FORRO - FORNECIMENTO E INSTALAÇÃO. AF_03/2023</t>
  </si>
  <si>
    <t>18.3.3</t>
  </si>
  <si>
    <t>ELETRODUTO RÍGIDO ROSCÁVEL, PVC, DN 50 MM (1 1/2"), PARA REDE ENTERRADA DE DISTRIBUIÇÃO DE ENERGIA ELÉTRICA - FORNECIMENTO E INSTALAÇÃO. AF_12/2021</t>
  </si>
  <si>
    <t>18.3.4</t>
  </si>
  <si>
    <t>ELETRODUTO RÍGIDO ROSCÁVEL, PVC, DN 60 MM (2"), PARA REDE ENTERRADA DE DISTRIBUIÇÃO DE ENERGIA ELÉTRICA - FORNECIMENTO E INSTALAÇÃO. AF_12/2021</t>
  </si>
  <si>
    <t>18.3.5</t>
  </si>
  <si>
    <t>ELETRODUTO RÍGIDO ROSCÁVEL, PVC, DN 85 MM (3"), PARA REDE ENTERRADA DE DISTRIBUIÇÃO DE ENERGIA ELÉTRICA - FORNECIMENTO E INSTALAÇÃO. AF_12/2021</t>
  </si>
  <si>
    <t>18.3.6</t>
  </si>
  <si>
    <t>FNDE 94</t>
  </si>
  <si>
    <t>ELETRODUTO EM ACO ZINCADO OU GALVANIZADO DN=3/4", APARENTE - FORNECIMENTO E INSTALAÇÃO.</t>
  </si>
  <si>
    <t>18.3.7</t>
  </si>
  <si>
    <t>CAIXA ENTERRADA ELÉTRICA RETANGULAR, EM ALVENARIA COM TIJOLOS CERÂMICOS MACIÇOS, FUNDO COM BRITA, DIMENSÕES INTERNAS: 0,3X0,3X0,3 M. AF_12/2020</t>
  </si>
  <si>
    <t>18.3.8</t>
  </si>
  <si>
    <t>CAIXA OCTOGONAL 3" X 3", PVC, INSTALADA EM LAJE - FORNECIMENTO E INSTALAÇÃO. AF_03/2023</t>
  </si>
  <si>
    <t>18.3.9</t>
  </si>
  <si>
    <t>CAIXA RETANGULAR 4" X 2" MÉDIA (1,30 M DO PISO), PVC, INSTALADA EM PAREDE - FORNECIMENTO E INSTALAÇÃO. AF_03/2023</t>
  </si>
  <si>
    <t>18.4</t>
  </si>
  <si>
    <t>CABOS E FIOS CONDUTORES</t>
  </si>
  <si>
    <t>18.4.1</t>
  </si>
  <si>
    <t>CABO DE COBRE FLEXÍVEL ISOLADO, 2,5 MM², ANTI-CHAMA 450/750 V, PARA CIRCUITOS TERMINAIS - FORNECIMENTO E INSTALAÇÃO. AF_03/2023</t>
  </si>
  <si>
    <t>18.4.2</t>
  </si>
  <si>
    <t>CABO DE COBRE FLEXÍVEL ISOLADO, 4 MM², ANTI-CHAMA 450/750 V, PARA CIRCUITOS TERMINAIS - FORNECIMENTO E INSTALAÇÃO. AF_03/2023</t>
  </si>
  <si>
    <t>18.4.3</t>
  </si>
  <si>
    <t>CABO DE COBRE FLEXÍVEL ISOLADO, 6 MM², ANTI-CHAMA 450/750 V, PARA CIRCUITOS TERMINAIS - FORNECIMENTO E INSTALAÇÃO. AF_03/2023</t>
  </si>
  <si>
    <t>18.4.4</t>
  </si>
  <si>
    <t>CABO DE COBRE FLEXÍVEL ISOLADO, 16 MM², ANTI-CHAMA 450/750 V, PARA CIRCUITOS TERMINAIS - FORNECIMENTO E INSTALAÇÃO. AF_03/2023</t>
  </si>
  <si>
    <t>18.4.5</t>
  </si>
  <si>
    <t>CABO DE COBRE FLEXÍVEL ISOLADO, 25 MM², ANTI-CHAMA 0,6/1,0 KV, PARA REDE ENTERRADA DE DISTRIBUIÇÃO DE ENERGIA ELÉTRICA - FORNECIMENTO E INSTALAÇÃO. AF_12/2021</t>
  </si>
  <si>
    <t>18.4.6</t>
  </si>
  <si>
    <t>CABO DE COBRE FLEXÍVEL ISOLADO, 35 MM², ANTI-CHAMA 0,6/1,0 KV, PARA REDE ENTERRADA DE DISTRIBUIÇÃO DE ENERGIA ELÉTRICA - FORNECIMENTO E INSTALAÇÃO. AF_12/2021</t>
  </si>
  <si>
    <t>18.4.7</t>
  </si>
  <si>
    <t>CABO DE COBRE FLEXÍVEL ISOLADO, 70 MM², ANTI-CHAMA 0,6/1,0 KV, PARA REDE ENTERRADA DE DISTRIBUIÇÃO DE ENERGIA ELÉTRICA - FORNECIMENTO E INSTALAÇÃO. AF_12/2021</t>
  </si>
  <si>
    <t>18.4.8</t>
  </si>
  <si>
    <t>CABO DE COBRE FLEXÍVEL ISOLADO, 95 MM², 0,6/1,0 KV, PARA REDE AÉREA DE DISTRIBUIÇÃO DE ENERGIA ELÉTRICA DE BAIXA TENSÃO - FORNECIMENTO E INSTALAÇÃO. AF_07/2020</t>
  </si>
  <si>
    <t>18.4.9</t>
  </si>
  <si>
    <t>CABO DE COBRE FLEXÍVEL ISOLADO, 150 MM², ANTI-CHAMA 0,6/1,0 KV, PARA REDE ENTERRADA DE DISTRIBUIÇÃO DE ENERGIA ELÉTRICA - FORNECIMENTO E INSTALAÇÃO. AF_12/2021</t>
  </si>
  <si>
    <t>18.5</t>
  </si>
  <si>
    <t>ELETROCALHAS</t>
  </si>
  <si>
    <t>18.5.1</t>
  </si>
  <si>
    <t>FNDE 313</t>
  </si>
  <si>
    <t>ELETROCALHA LISA OU PERFURADA EM AÇO GALVANIZADO, LARGURA  150MM E ALTURA 100MM, INCLUSIVE EMENDA E FIXAÇÃO - FORNECIMENTO E INSTALAÇÃO.</t>
  </si>
  <si>
    <t>18.5.2</t>
  </si>
  <si>
    <t>SUPORTE PARA 2 ELETRODUTOS, ESPAÇADO A CADA 80 CM, EM PERFILADO COM COMPRIMENTO DE 25 CM FIXADO EM LAJE, POR METRO DE ELETRODUTO FIXADO. AF_09/2023</t>
  </si>
  <si>
    <t>18.6</t>
  </si>
  <si>
    <t>ILUMINAÇÃO E TOMADAS</t>
  </si>
  <si>
    <t>18.6.1</t>
  </si>
  <si>
    <t>TOMADA BAIXA DE EMBUTIR (1 MÓDULO), 2P+T 10 A, INCLUINDO SUPORTE E PLACA - FORNECIMENTO E INSTALAÇÃO. AF_03/2023</t>
  </si>
  <si>
    <t>18.6.2</t>
  </si>
  <si>
    <t>TOMADA BAIXA DE EMBUTIR (1 MÓDULO), 2P+T 20 A, INCLUINDO SUPORTE E PLACA - FORNECIMENTO E INSTALAÇÃO. AF_03/2023</t>
  </si>
  <si>
    <t>18.6.3</t>
  </si>
  <si>
    <t>INTERRUPTOR PARALELO (1 MÓDULO) COM 1 TOMADA DE EMBUTIR 2P+T 10 A, INCLUINDO SUPORTE E PLACA - FORNECIMENTO E INSTALAÇÃO. AF_03/2023</t>
  </si>
  <si>
    <t>18.6.4</t>
  </si>
  <si>
    <t>INTERRUPTOR PARALELO (1 MÓDULO), 10A/250V, INCLUINDO SUPORTE E PLACA - FORNECIMENTO E INSTALAÇÃO. AF_03/2023</t>
  </si>
  <si>
    <t>18.6.5</t>
  </si>
  <si>
    <t>INTERRUPTOR PARALELO (2 MÓDULOS) COM 1 TOMADA DE EMBUTIR 2P+T 10 A, INCLUINDO SUPORTE E PLACA - FORNECIMENTO E INSTALAÇÃO. AF_03/2023</t>
  </si>
  <si>
    <t>18.6.6</t>
  </si>
  <si>
    <t>INTERRUPTOR SIMPLES (3 MÓDULOS), 10A/250V, INCLUINDO SUPORTE E PLACA - FORNECIMENTO E INSTALAÇÃO. AF_03/2023</t>
  </si>
  <si>
    <t>18.6.7</t>
  </si>
  <si>
    <t>FNDE 309</t>
  </si>
  <si>
    <t>ESPELHO / PLACA CEGA 4" X 2", PARA INSTALACAO DE TOMADAS E INTERRUPTORES</t>
  </si>
  <si>
    <t>18.6.8</t>
  </si>
  <si>
    <t>LUMINÁRIA TIPO CALHA, DE SOBREPOR, COM 2 LÂMPADAS TUBULARES FLUORESCENTES DE 36 W, COM REATOR DE PARTIDA RÁPIDA - FORNECIMENTO E INSTALAÇÃO. AF_02/2020</t>
  </si>
  <si>
    <t>18.6.9</t>
  </si>
  <si>
    <t>FNDE 379</t>
  </si>
  <si>
    <t>LUMINÁRIA DE EMBUTIR COMPLETA EM FORRO DE GESSO OU MODULADO COM PERFIL "T", PARA 2 LAMPADAS T8 16/18W.</t>
  </si>
  <si>
    <t>18.6.10</t>
  </si>
  <si>
    <t>FNDE 380</t>
  </si>
  <si>
    <t>LUMINÁRIA DE EMBUTIR COMPLETA EM FORRO DE GESSO OU MODULADO COM PERFIL "T", PARA 2 LAMPADAS T8 32/36W.</t>
  </si>
  <si>
    <t>18.6.11</t>
  </si>
  <si>
    <t>FNDE 381</t>
  </si>
  <si>
    <t>REFLETOR EM ALUMÍNIO, DE SUPORTE E ALÇA, COM 1 LÂMPADA VAPOR DE MERCÚRIO DE 70 W, COM REATOR ALTO FATOR DE POTÊNCIA - FORNECIMENTO E INSTALAÇÃO.</t>
  </si>
  <si>
    <t>18.6.12</t>
  </si>
  <si>
    <t>LÂMPADA VAPOR METÁLICO 150 W - FORNECIMENTO E INSTALAÇÃO. AF_08/2020</t>
  </si>
  <si>
    <t>18.6.13</t>
  </si>
  <si>
    <t>LÂMPADA VAPOR METÁLICO 400 W - FORNECIMENTO E INSTALAÇÃO. AF_08/2020</t>
  </si>
  <si>
    <t>18.6.14</t>
  </si>
  <si>
    <t>LUMINÁRIA ARANDELA TIPO TARTARUGA, COM GRADE, DE SOBREPOR, COM 1 LÂMPADA FLUORESCENTE DE 15 W, SEM REATOR - FORNECIMENTO E INSTALAÇÃO. AF_02/2020</t>
  </si>
  <si>
    <t>INSTALAÇÕES DE CLIMATIZAÇÃO</t>
  </si>
  <si>
    <t>19.1</t>
  </si>
  <si>
    <t>DUTOS</t>
  </si>
  <si>
    <t>19.1.1</t>
  </si>
  <si>
    <t>CABO DE COBRE FLEXÍVEL ISOLADO, 2,5 MM², ANTI-CHAMA 0,6/1,0 KV, PARA CIRCUITOS TERMINAIS - FORNECIMENTO E INSTALAÇÃO. AF_03/2023</t>
  </si>
  <si>
    <t>19.1.2</t>
  </si>
  <si>
    <t>CABO DE COBRE FLEXÍVEL ISOLADO, 4 MM², ANTI-CHAMA 0,6/1,0 KV, PARA CIRCUITOS TERMINAIS - FORNECIMENTO E INSTALAÇÃO. AF_03/2023</t>
  </si>
  <si>
    <t>19.1.3</t>
  </si>
  <si>
    <t>TUBO EM COBRE FLEXÍVEL, DN 1/4", COM ISOLAMENTO, INSTALADO EM RAMAL DE ALIMENTAÇÃO DE AR CONDICIONADO COM CONDENSADORA INDIVIDUAL   FORNECIMENTO E INSTALAÇÃO. AF_12/2015</t>
  </si>
  <si>
    <t>19.1.4</t>
  </si>
  <si>
    <t>TUBO EM COBRE FLEXÍVEL, DN 3/8", COM ISOLAMENTO, INSTALADO EM RAMAL DE ALIMENTAÇÃO DE AR CONDICIONADO COM CONDENSADORA INDIVIDUAL - FORNECIMENTO E INSTALAÇÃO. AF_12/2015</t>
  </si>
  <si>
    <t>19.1.5</t>
  </si>
  <si>
    <t>ADAPTADOR CURTO COM BOLSA E ROSCA PARA REGISTRO, PVC, SOLDÁVEL, DN 40MM X 1.1/4", INSTALADO EM RAMAL DE DISTRIBUIÇÃO DE ÁGUA - FORNECIMENTO E INSTALAÇÃO. AF_06/2022</t>
  </si>
  <si>
    <t>19.2</t>
  </si>
  <si>
    <t>DRENO</t>
  </si>
  <si>
    <t>19.2.1</t>
  </si>
  <si>
    <t>TUBO, PVC, SOLDÁVEL, DN 40MM, INSTALADO EM RAMAL DE DISTRIBUIÇÃO DE ÁGUA - FORNECIMENTO E INSTALAÇÃO. AF_06/2022</t>
  </si>
  <si>
    <t>19.2.2</t>
  </si>
  <si>
    <t>JOELHO 45 GRAUS, PVC, SOLDÁVEL, DN 40MM, INSTALADO EM RAMAL DE DISTRIBUIÇÃO DE ÁGUA - FORNECIMENTO E INSTALAÇÃO. AF_06/2022</t>
  </si>
  <si>
    <t>19.2.3</t>
  </si>
  <si>
    <t>JOELHO 90 GRAUS, PVC, SOLDÁVEL, DN 40MM, INSTALADO EM RAMAL DE DISTRIBUIÇÃO DE ÁGUA - FORNECIMENTO E INSTALAÇÃO. AF_06/2022</t>
  </si>
  <si>
    <t>19.2.4</t>
  </si>
  <si>
    <t>TE, PVC, SOLDÁVEL, DN 40MM, INSTALADO EM RAMAL DE DISTRIBUIÇÃO DE ÁGUA - FORNECIMENTO E INSTALAÇÃO. AF_06/2022</t>
  </si>
  <si>
    <t>INSTALAÇÕES DE CABEAMENTO ESTRUTURADO</t>
  </si>
  <si>
    <t>20.1</t>
  </si>
  <si>
    <t>ACESSÓRIOS CABEAMENTO</t>
  </si>
  <si>
    <t>20.1.1</t>
  </si>
  <si>
    <t>PATCH PANEL 24 PORTAS, CATEGORIA 6 - FORNECIMENTO E INSTALAÇÃO. AF_11/2019</t>
  </si>
  <si>
    <t>20.1.2</t>
  </si>
  <si>
    <t>FNDE 76</t>
  </si>
  <si>
    <t>SWITCH TIPO 24 PORTAS</t>
  </si>
  <si>
    <t>20.1.3</t>
  </si>
  <si>
    <t>FNDE 385</t>
  </si>
  <si>
    <t>PATCH CORD, CATEGORIA 6 UTP, 4 PARES.</t>
  </si>
  <si>
    <t>20.1.4</t>
  </si>
  <si>
    <t>FNDE 123</t>
  </si>
  <si>
    <t>GUIA DE CABOS FECHADO 1U</t>
  </si>
  <si>
    <t>20.1.5</t>
  </si>
  <si>
    <t>FNDE 122</t>
  </si>
  <si>
    <t>BANDEJA MÓVEL, PADRÃO 19"</t>
  </si>
  <si>
    <t>20.1.6</t>
  </si>
  <si>
    <t>RACK ABERTO EM COLUNA 44U PARA SERVIDOR - FORNECIMENTO E INSTALAÇÃO. AF_11/2019</t>
  </si>
  <si>
    <t>20.1.7</t>
  </si>
  <si>
    <t>FNDE 125</t>
  </si>
  <si>
    <t>GUIA VERTICAL 200 MM PARA CABOS</t>
  </si>
  <si>
    <t>20.2</t>
  </si>
  <si>
    <t>CAIXAS E QUADROS</t>
  </si>
  <si>
    <t>20.2.1</t>
  </si>
  <si>
    <t>20.2.2</t>
  </si>
  <si>
    <t>20.3</t>
  </si>
  <si>
    <t>DISPOSITIVOS</t>
  </si>
  <si>
    <t>20.3.1</t>
  </si>
  <si>
    <t>TOMADA DE REDE RJ45 - FORNECIMENTO E INSTALAÇÃO. AF_11/2019</t>
  </si>
  <si>
    <t>20.3.2</t>
  </si>
  <si>
    <t>FNDE 375</t>
  </si>
  <si>
    <t>TOMADA PARA ANTENA DE TV, CABO COAXIAL DE 9 MM FORNECIMENTO E INSTALAÇÃO</t>
  </si>
  <si>
    <t>20.3.3</t>
  </si>
  <si>
    <t>FNDE 70</t>
  </si>
  <si>
    <t>TERMINAL A COMPRESSÃO</t>
  </si>
  <si>
    <t>20.4</t>
  </si>
  <si>
    <t>ELETROCALHA E ELETRODUTOS</t>
  </si>
  <si>
    <t>20.4.1</t>
  </si>
  <si>
    <t>FNDE 312</t>
  </si>
  <si>
    <t>ELETROCALHA LISA OU PERFURADA EM AÇO GALVANIZADO, LARGURA  100MM E ALTURA 50MM, INCLUSIVE EMENDA E FIXAÇÃO - FORNECIMENTO E INSTALAÇÃO.</t>
  </si>
  <si>
    <t>20.4.2</t>
  </si>
  <si>
    <t>ELETRODUTO FLEXÍVEL CORRUGADO REFORÇADO, PVC, DN 32 MM (1"), PARA CIRCUITOS TERMINAIS, INSTALADO EM FORRO - FORNECIMENTO E INSTALAÇÃO. AF_03/2023</t>
  </si>
  <si>
    <t>20.4.3</t>
  </si>
  <si>
    <t>ELETRODUTO FLEXÍVEL CORRUGADO REFORÇADO, PVC, DN 25 MM (3/4"), PARA CIRCUITOS TERMINAIS, INSTALADO EM FORRO - FORNECIMENTO E INSTALAÇÃO. AF_03/2023</t>
  </si>
  <si>
    <t>20.4.4</t>
  </si>
  <si>
    <t>ELETRODUTO RÍGIDO ROSCÁVEL, PVC, DN 40 MM (1 1/4"), PARA CIRCUITOS TERMINAIS, INSTALADO EM FORRO - FORNECIMENTO E INSTALAÇÃO. AF_03/2023</t>
  </si>
  <si>
    <t>20.4.5</t>
  </si>
  <si>
    <t>FNDE 346</t>
  </si>
  <si>
    <t>CABECOTE PARA ENTRADA DE LINHA DE ALIMENTACAO PARA ELETRODUTO</t>
  </si>
  <si>
    <t>20.4.6</t>
  </si>
  <si>
    <t>FNDE 90</t>
  </si>
  <si>
    <t>ELETRODUTO RIGIDO, EM ACO ZINCADO OU GALVANIZADO, TIPO PESADO, DN=1", APARENTE - FORNECIMENTO E INSTALAÇÃO.</t>
  </si>
  <si>
    <t>20.5</t>
  </si>
  <si>
    <t>CABEAMENTO</t>
  </si>
  <si>
    <t>20.5.1</t>
  </si>
  <si>
    <t>CABO ELETRÔNICO CATEGORIA 6, INSTALADO EM EDIFICAÇÃO INSTITUCIONAL - FORNECIMENTO E INSTALAÇÃO. AF_11/2019</t>
  </si>
  <si>
    <t>20.5.2</t>
  </si>
  <si>
    <t>CABO COAXIAL RG59 95% - FORNECIMENTO E INSTALAÇÃO. AF_11/2019</t>
  </si>
  <si>
    <t>SISTEMA DE EXAUSTÃO MECÂNICA</t>
  </si>
  <si>
    <t>21.1</t>
  </si>
  <si>
    <t>FNDE 44</t>
  </si>
  <si>
    <t>DUTO DE ALONGAMENTO PARA EXAUSTOR</t>
  </si>
  <si>
    <t>21.2</t>
  </si>
  <si>
    <t>FNDE 45</t>
  </si>
  <si>
    <t>COIFA EM AÇO INOX 100CM X 150CM</t>
  </si>
  <si>
    <t>SISTEMA DE PROTEÇÃO CONTRA DESCARGAS ATMOSFÉRICAS (SPDA)</t>
  </si>
  <si>
    <t>22.1</t>
  </si>
  <si>
    <t>CAPTOR TIPO FRANKLIN PARA SPDA - FORNECIMENTO E INSTALAÇÃO. AF_08/2023</t>
  </si>
  <si>
    <t>22.2</t>
  </si>
  <si>
    <t>ARMAÇÃO UTILIZANDO AÇO CA-25 DE 10,0 MM - MONTAGEM. AF_06/2022</t>
  </si>
  <si>
    <t>22.3</t>
  </si>
  <si>
    <t>CONECTOR SPLIT-BOLT, PARA SPDA, PARA CABOS ATÉ 50 MM2 - FORNECIMENTO E INSTALAÇÃO. AF_08/2023</t>
  </si>
  <si>
    <t>22.4</t>
  </si>
  <si>
    <t>ABRAÇADEIRA DE FIXAÇÃO DE BRAÇOS DE LUMINÁRIAS DE 2" - FORNECIMENTO E INSTALAÇÃO. AF_08/2020</t>
  </si>
  <si>
    <t>22.5</t>
  </si>
  <si>
    <t>FNDE 68</t>
  </si>
  <si>
    <t>CONJUNTO DE ESTAIAMENTO PARA MASTRO DE SPDA</t>
  </si>
  <si>
    <t>22.6</t>
  </si>
  <si>
    <t>SUPORTE ISOLADOR PARA FIXAÇÃO DA CORDOALHA DE COBRE EM ALVENARIA OU CONCRETO - FORNECIMENTO E INSTALAÇÃO. AF_08/2023</t>
  </si>
  <si>
    <t>22.7</t>
  </si>
  <si>
    <t>FNDE 69</t>
  </si>
  <si>
    <t>CAIXA DE EQUALIZAÇÃO DE ATERRAMENTO ELÉTRICO</t>
  </si>
  <si>
    <t>22.8</t>
  </si>
  <si>
    <t>ESCAVAÇÃO MANUAL DE VALA COM PROFUNDIDADE MENOR OU IGUAL A 1,30 M. AF_02/2021</t>
  </si>
  <si>
    <t>22.9</t>
  </si>
  <si>
    <t>REATERRO MANUAL DE VALAS, COM COMPACTADOR DE SOLOS DE PERCUSSÃO. AF_08/2023</t>
  </si>
  <si>
    <t>22.10</t>
  </si>
  <si>
    <t>HASTE DE ATERRAMENTO, DIÂMETRO 5/8", COM 3 METROS - FORNECIMENTO E INSTALAÇÃO. AF_08/2023</t>
  </si>
  <si>
    <t>22.11</t>
  </si>
  <si>
    <t>CORDOALHA DE COBRE NU 35 MM², NÃO ENTERRADA, COM ISOLADOR - FORNECIMENTO E INSTALAÇÃO. AF_08/2023</t>
  </si>
  <si>
    <t>22.12</t>
  </si>
  <si>
    <t>CORDOALHA DE COBRE NU 50 MM², ENTERRADA - FORNECIMENTO E INSTALAÇÃO. AF_08/2023</t>
  </si>
  <si>
    <t>22.13</t>
  </si>
  <si>
    <t>CAIXA DE INSPEÇÃO PARA ATERRAMENTO, CIRCULAR, EM POLIETILENO, DIÂMETRO INTERNO = 0,3 M. AF_12/2020</t>
  </si>
  <si>
    <t>22.14</t>
  </si>
  <si>
    <t>22.15</t>
  </si>
  <si>
    <t>FNDE 71</t>
  </si>
  <si>
    <t>SOLDA EXOTÉRMICA PARA SPDA - FORNECIMENTO E INSTALAÇÃO.</t>
  </si>
  <si>
    <t>SERVIÇOS COMPLEMENTARES</t>
  </si>
  <si>
    <t>23.1</t>
  </si>
  <si>
    <t>FNDE 39</t>
  </si>
  <si>
    <t>CONJUNTO DE MASTRO P/ TRÊS BANDEIRAS E PEDESTAL</t>
  </si>
  <si>
    <t>23.2</t>
  </si>
  <si>
    <t>FNDE 40</t>
  </si>
  <si>
    <t>BANCADA DE GRANITO CINZA ANDORINHA, INCLUSIVE PASSA PRATOS, ESPESSURA 2 CM - FORNECIMENTO E INSTALAÇÃO</t>
  </si>
  <si>
    <t>23.3</t>
  </si>
  <si>
    <t>FNDE 47</t>
  </si>
  <si>
    <t>PRATELEIRA DE GRANITO CINZA ANDORINHA, ESPESSURA 2 CM - FORNECIMENTO E INSTALAÇÃO</t>
  </si>
  <si>
    <t>23.4</t>
  </si>
  <si>
    <t>FNDE 48</t>
  </si>
  <si>
    <t>ESCANINHOS EM MDF, REVESTIDOS EM LAMINADO MELAMÍNICO</t>
  </si>
  <si>
    <t>23.5</t>
  </si>
  <si>
    <t>PEITORIL LINEAR EM GRANITO OU MÁRMORE, L = 15CM, COMPRIMENTO DE ATÉ 2M, ASSENTADO COM ARGAMASSA 1:6 COM ADITIVO. AF_11/2020</t>
  </si>
  <si>
    <t>23.6</t>
  </si>
  <si>
    <t>SUPORTE MÃO FRANCESA EM AÇO, ABAS IGUAIS 30 CM, CAPACIDADE MINIMA 60 KG, BRANCO - FORNECIMENTO E INSTALAÇÃO. AF_01/2020</t>
  </si>
  <si>
    <t>23.7</t>
  </si>
  <si>
    <t>FNDE 49</t>
  </si>
  <si>
    <t>BARRA DE APOIO EM INOX, DIAMETRO MINIMO 3 CM, EM AÇO INOX</t>
  </si>
  <si>
    <t>23.8</t>
  </si>
  <si>
    <t>FNDE 51</t>
  </si>
  <si>
    <t>BANCO DE CONCRETO SEM ENCOSTO, DIM. 2,50 X 0,60 M</t>
  </si>
  <si>
    <t>23.9</t>
  </si>
  <si>
    <t>FNDE 38</t>
  </si>
  <si>
    <t>FITA 3M COLANTE ANTIDERRAPANTE PARA PISO</t>
  </si>
  <si>
    <t>SERVIÇOS FINAIS</t>
  </si>
  <si>
    <t>24.1</t>
  </si>
  <si>
    <t>LIMPEZA DE PISO CERÂMICO OU PORCELANATO COM PANO ÚMIDO. AF_04/2019</t>
  </si>
  <si>
    <t>24.2</t>
  </si>
  <si>
    <t>VALOR ORÇAMENTO:</t>
  </si>
  <si>
    <t>VALOR TOTAL:</t>
  </si>
  <si>
    <t>'R$ '31,12</t>
  </si>
  <si>
    <t>'R$ '791,01</t>
  </si>
  <si>
    <t>'R$ '219,98</t>
  </si>
  <si>
    <t>'R$ '2.108,42</t>
  </si>
  <si>
    <t>'R$ '447,12</t>
  </si>
  <si>
    <t>'R$ '3.069,90</t>
  </si>
  <si>
    <t>'R$ '7.647,75</t>
  </si>
  <si>
    <t>'R$ '1.807,55</t>
  </si>
  <si>
    <t>'R$ '2.879,90</t>
  </si>
  <si>
    <t>'R$ '8.875,60</t>
  </si>
  <si>
    <t>'R$ '7.960,00</t>
  </si>
  <si>
    <t>'R$ '6.218,72</t>
  </si>
  <si>
    <t>'R$ '9.950,00</t>
  </si>
  <si>
    <t>'R$ '326.219,72</t>
  </si>
  <si>
    <t>'R$ '1.008,00</t>
  </si>
  <si>
    <t>'R$ '10.788,18</t>
  </si>
  <si>
    <t>'R$ '22.168,81</t>
  </si>
  <si>
    <t>'R$ '320,20</t>
  </si>
  <si>
    <t>'R$ '2.734,85</t>
  </si>
  <si>
    <t>'R$ '1.387,21</t>
  </si>
  <si>
    <t>'R$ '39,98</t>
  </si>
  <si>
    <t>'R$ '148,12</t>
  </si>
  <si>
    <t>'R$ '322,92</t>
  </si>
  <si>
    <t>'R$ '14,47</t>
  </si>
  <si>
    <t>'R$ '15,95</t>
  </si>
  <si>
    <t>'R$ '1.854,34</t>
  </si>
  <si>
    <t>'R$ '9.874,30</t>
  </si>
  <si>
    <t>'R$ '4.542,30</t>
  </si>
  <si>
    <t>'R$ '542,44</t>
  </si>
  <si>
    <t>'R$ '4.289,53</t>
  </si>
  <si>
    <t>'R$ '2.229,75</t>
  </si>
  <si>
    <t>'R$ '13.121,40</t>
  </si>
  <si>
    <t>'R$ '2.402,49</t>
  </si>
  <si>
    <t>'R$ '3.093,87</t>
  </si>
  <si>
    <t>'R$ '26.205,76</t>
  </si>
  <si>
    <t>'R$ '8.680,32</t>
  </si>
  <si>
    <t>'R$ '1.327,98</t>
  </si>
  <si>
    <t>'R$ '261,72</t>
  </si>
  <si>
    <t>'R$ '6.677,79</t>
  </si>
  <si>
    <t>'R$ '19.585,56</t>
  </si>
  <si>
    <t>'R$ '2.282,00</t>
  </si>
  <si>
    <t>'R$ '83,90</t>
  </si>
  <si>
    <t>'R$ '192,39</t>
  </si>
  <si>
    <t>'R$ '539,92</t>
  </si>
  <si>
    <t>'R$ '1.507,77</t>
  </si>
  <si>
    <t>'R$ '830,26</t>
  </si>
  <si>
    <t>'R$ '127,05</t>
  </si>
  <si>
    <t>'R$ '244,73</t>
  </si>
  <si>
    <t>'R$ '1.960,18</t>
  </si>
  <si>
    <t>'R$ '1.141,00</t>
  </si>
  <si>
    <t>'R$ '49,69</t>
  </si>
  <si>
    <t>'R$ '613,55</t>
  </si>
  <si>
    <t>'R$ '153,77</t>
  </si>
  <si>
    <t>'R$ '510,29</t>
  </si>
  <si>
    <t>'R$ '526,69</t>
  </si>
  <si>
    <t>'R$ '4.077,88</t>
  </si>
  <si>
    <t>'R$ '1.107,23</t>
  </si>
  <si>
    <t>'R$ '2.948,36</t>
  </si>
  <si>
    <t>'R$ '15.290,31</t>
  </si>
  <si>
    <t>'R$ '8.443,66</t>
  </si>
  <si>
    <t>'R$ '2.640,71</t>
  </si>
  <si>
    <t>'R$ '5.879,87</t>
  </si>
  <si>
    <t>'R$ '13.268,48</t>
  </si>
  <si>
    <t>'R$ '15.783,87</t>
  </si>
  <si>
    <t>'R$ '7.644,54</t>
  </si>
  <si>
    <t>'R$ '96,98</t>
  </si>
  <si>
    <t>'R$ '4.770,95</t>
  </si>
  <si>
    <t>'R$ '17.882,71</t>
  </si>
  <si>
    <t>'R$ '3.709,95</t>
  </si>
  <si>
    <t>'R$ '825,66</t>
  </si>
  <si>
    <t>'R$ '496,74</t>
  </si>
  <si>
    <t>'R$ '178,40</t>
  </si>
  <si>
    <t>'R$ '552,55</t>
  </si>
  <si>
    <t>'R$ '882,54</t>
  </si>
  <si>
    <t>'R$ '185,87</t>
  </si>
  <si>
    <t>'R$ '281,78</t>
  </si>
  <si>
    <t>'R$ '222,80</t>
  </si>
  <si>
    <t>'R$ '895,96</t>
  </si>
  <si>
    <t>'R$ '131.150,48</t>
  </si>
  <si>
    <t>'R$ '2.453,04</t>
  </si>
  <si>
    <t>'R$ '9.613,31</t>
  </si>
  <si>
    <t>'R$ '1.959,30</t>
  </si>
  <si>
    <t>'R$ '43.810,10</t>
  </si>
  <si>
    <t>'R$ '797,52</t>
  </si>
  <si>
    <t>'R$ '3.125,12</t>
  </si>
  <si>
    <t>'R$ '637,00</t>
  </si>
  <si>
    <t>'R$ '14.246,67</t>
  </si>
  <si>
    <t>'R$ '1.364,33</t>
  </si>
  <si>
    <t>'R$ '32.035,03</t>
  </si>
  <si>
    <t>'R$ '91.188,30</t>
  </si>
  <si>
    <t>'R$ '42.359,02</t>
  </si>
  <si>
    <t>'R$ '1.320,66</t>
  </si>
  <si>
    <t>'R$ '2.048,53</t>
  </si>
  <si>
    <t>'R$ '4.726,92</t>
  </si>
  <si>
    <t>'R$ '5.325,32</t>
  </si>
  <si>
    <t>'R$ '2.290,82</t>
  </si>
  <si>
    <t>'R$ '222,12</t>
  </si>
  <si>
    <t>'R$ '5.922,48</t>
  </si>
  <si>
    <t>'R$ '5.397,48</t>
  </si>
  <si>
    <t>'R$ '6.479,82</t>
  </si>
  <si>
    <t>'R$ '3.239,91</t>
  </si>
  <si>
    <t>'R$ '8.995,80</t>
  </si>
  <si>
    <t>'R$ '3.986,28</t>
  </si>
  <si>
    <t>'R$ '355,93</t>
  </si>
  <si>
    <t>'R$ '337,92</t>
  </si>
  <si>
    <t>'R$ '2.824,16</t>
  </si>
  <si>
    <t>'R$ '2.435,33</t>
  </si>
  <si>
    <t>'R$ '837,12</t>
  </si>
  <si>
    <t>'R$ '1.085,40</t>
  </si>
  <si>
    <t>'R$ '2.170,80</t>
  </si>
  <si>
    <t>'R$ '38.804,84</t>
  </si>
  <si>
    <t>'R$ '1.317,98</t>
  </si>
  <si>
    <t>'R$ '558,55</t>
  </si>
  <si>
    <t>'R$ '1.364,65</t>
  </si>
  <si>
    <t>'R$ '1.096,10</t>
  </si>
  <si>
    <t>'R$ '1.732,79</t>
  </si>
  <si>
    <t>'R$ '1.470,55</t>
  </si>
  <si>
    <t>'R$ '666,46</t>
  </si>
  <si>
    <t>'R$ '7.997,47</t>
  </si>
  <si>
    <t>'R$ '5.331,65</t>
  </si>
  <si>
    <t>'R$ '3.998,74</t>
  </si>
  <si>
    <t>'R$ '3.332,28</t>
  </si>
  <si>
    <t>'R$ '2.665,82</t>
  </si>
  <si>
    <t>'R$ '10.663,30</t>
  </si>
  <si>
    <t>'R$ '1.851,80</t>
  </si>
  <si>
    <t>'R$ '2.030,71</t>
  </si>
  <si>
    <t>'R$ '691,38</t>
  </si>
  <si>
    <t>'R$ '2.194,78</t>
  </si>
  <si>
    <t>'R$ '2.074,32</t>
  </si>
  <si>
    <t>'R$ '80.736,04</t>
  </si>
  <si>
    <t>'R$ '19.308,94</t>
  </si>
  <si>
    <t>'R$ '6.895,29</t>
  </si>
  <si>
    <t>'R$ '4.377,96</t>
  </si>
  <si>
    <t>'R$ '6.829,62</t>
  </si>
  <si>
    <t>'R$ '127.267,24</t>
  </si>
  <si>
    <t>'R$ '11.985,08</t>
  </si>
  <si>
    <t>'R$ '5.618,81</t>
  </si>
  <si>
    <t>'R$ '2.743,37</t>
  </si>
  <si>
    <t>'R$ '7.599,80</t>
  </si>
  <si>
    <t>'R$ '12.233,63</t>
  </si>
  <si>
    <t>'R$ '16.221,80</t>
  </si>
  <si>
    <t>'R$ '5.165,19</t>
  </si>
  <si>
    <t>'R$ '12.154,21</t>
  </si>
  <si>
    <t>'R$ '50.046,27</t>
  </si>
  <si>
    <t>'R$ '38.222,78</t>
  </si>
  <si>
    <t>'R$ '22.965,10</t>
  </si>
  <si>
    <t>'R$ '28.706,93</t>
  </si>
  <si>
    <t>'R$ '5.271,52</t>
  </si>
  <si>
    <t>'R$ '257,97</t>
  </si>
  <si>
    <t>'R$ '544,54</t>
  </si>
  <si>
    <t>'R$ '275,91</t>
  </si>
  <si>
    <t>'R$ '4.214,14</t>
  </si>
  <si>
    <t>'R$ '32.421,85</t>
  </si>
  <si>
    <t>'R$ '37.427,97</t>
  </si>
  <si>
    <t>'R$ '463,78</t>
  </si>
  <si>
    <t>'R$ '3.824,93</t>
  </si>
  <si>
    <t>'R$ '11.158,36</t>
  </si>
  <si>
    <t>'R$ '17.535,88</t>
  </si>
  <si>
    <t>'R$ '6.157,58</t>
  </si>
  <si>
    <t>'R$ '3.602,74</t>
  </si>
  <si>
    <t>'R$ '7.313,45</t>
  </si>
  <si>
    <t>'R$ '42.257,99</t>
  </si>
  <si>
    <t>'R$ '1.199,58</t>
  </si>
  <si>
    <t>'R$ '1.055,36</t>
  </si>
  <si>
    <t>'R$ '8.430,82</t>
  </si>
  <si>
    <t>'R$ '4.690,24</t>
  </si>
  <si>
    <t>'R$ '153,56</t>
  </si>
  <si>
    <t>'R$ '2.843,55</t>
  </si>
  <si>
    <t>'R$ '11.277,45</t>
  </si>
  <si>
    <t>'R$ '2.134,87</t>
  </si>
  <si>
    <t>'R$ '902,07</t>
  </si>
  <si>
    <t>'R$ '1.386,38</t>
  </si>
  <si>
    <t>'R$ '3.041,46</t>
  </si>
  <si>
    <t>'R$ '5.075,60</t>
  </si>
  <si>
    <t>'R$ '286,29</t>
  </si>
  <si>
    <t>'R$ '35.300,83</t>
  </si>
  <si>
    <t>'R$ '22.492,99</t>
  </si>
  <si>
    <t>'R$ '2.290,86</t>
  </si>
  <si>
    <t>'R$ '231,25</t>
  </si>
  <si>
    <t>'R$ '13.513,74</t>
  </si>
  <si>
    <t>'R$ '15.428,09</t>
  </si>
  <si>
    <t>'R$ '9.050,15</t>
  </si>
  <si>
    <t>'R$ '6.222,25</t>
  </si>
  <si>
    <t>'R$ '20.516,26</t>
  </si>
  <si>
    <t>'R$ '1.789,41</t>
  </si>
  <si>
    <t>'R$ '1.158,95</t>
  </si>
  <si>
    <t>'R$ '282,90</t>
  </si>
  <si>
    <t>'R$ '3.753,58</t>
  </si>
  <si>
    <t>'R$ '2.283,99</t>
  </si>
  <si>
    <t>'R$ '298,43</t>
  </si>
  <si>
    <t>'R$ '5.943,94</t>
  </si>
  <si>
    <t>'R$ '3.316,09</t>
  </si>
  <si>
    <t>'R$ '120,06</t>
  </si>
  <si>
    <t>'R$ '1.343,46</t>
  </si>
  <si>
    <t>'R$ '621,50</t>
  </si>
  <si>
    <t>'R$ '21,32</t>
  </si>
  <si>
    <t>'R$ '644,80</t>
  </si>
  <si>
    <t>'R$ '166,32</t>
  </si>
  <si>
    <t>'R$ '73,96</t>
  </si>
  <si>
    <t>'R$ '112,80</t>
  </si>
  <si>
    <t>'R$ '27,36</t>
  </si>
  <si>
    <t>'R$ '54,72</t>
  </si>
  <si>
    <t>'R$ '403,80</t>
  </si>
  <si>
    <t>'R$ '17,97</t>
  </si>
  <si>
    <t>'R$ '132,10</t>
  </si>
  <si>
    <t>'R$ '17,16</t>
  </si>
  <si>
    <t>'R$ '602,72</t>
  </si>
  <si>
    <t>'R$ '184,16</t>
  </si>
  <si>
    <t>'R$ '30,20</t>
  </si>
  <si>
    <t>'R$ '369,60</t>
  </si>
  <si>
    <t>'R$ '151,20</t>
  </si>
  <si>
    <t>'R$ '2.589,60</t>
  </si>
  <si>
    <t>'R$ '781,62</t>
  </si>
  <si>
    <t>'R$ '573,40</t>
  </si>
  <si>
    <t>'R$ '146,40</t>
  </si>
  <si>
    <t>'R$ '209,61</t>
  </si>
  <si>
    <t>'R$ '291,90</t>
  </si>
  <si>
    <t>'R$ '513,17</t>
  </si>
  <si>
    <t>'R$ '384,56</t>
  </si>
  <si>
    <t>'R$ '184,60</t>
  </si>
  <si>
    <t>'R$ '111,32</t>
  </si>
  <si>
    <t>'R$ '723,58</t>
  </si>
  <si>
    <t>'R$ '82,65</t>
  </si>
  <si>
    <t>'R$ '165,76</t>
  </si>
  <si>
    <t>'R$ '171,99</t>
  </si>
  <si>
    <t>'R$ '1.188,27</t>
  </si>
  <si>
    <t>'R$ '480,45</t>
  </si>
  <si>
    <t>'R$ '223,86</t>
  </si>
  <si>
    <t>'R$ '1.801,12</t>
  </si>
  <si>
    <t>'R$ '3.809,70</t>
  </si>
  <si>
    <t>'R$ '722,28</t>
  </si>
  <si>
    <t>'R$ '40.508,70</t>
  </si>
  <si>
    <t>'R$ '7.407,86</t>
  </si>
  <si>
    <t>'R$ '186,18</t>
  </si>
  <si>
    <t>'R$ '454,52</t>
  </si>
  <si>
    <t>'R$ '1.898,33</t>
  </si>
  <si>
    <t>'R$ '287,88</t>
  </si>
  <si>
    <t>'R$ '64,27</t>
  </si>
  <si>
    <t>'R$ '4.855,50</t>
  </si>
  <si>
    <t>'R$ '391,82</t>
  </si>
  <si>
    <t>'R$ '5.304,63</t>
  </si>
  <si>
    <t>'R$ '2.334,83</t>
  </si>
  <si>
    <t>'R$ '4.415,78</t>
  </si>
  <si>
    <t>'R$ '2.207,52</t>
  </si>
  <si>
    <t>'R$ '311,68</t>
  </si>
  <si>
    <t>'R$ '451,98</t>
  </si>
  <si>
    <t>'R$ '196,47</t>
  </si>
  <si>
    <t>'R$ '157,26</t>
  </si>
  <si>
    <t>'R$ '305,40</t>
  </si>
  <si>
    <t>'R$ '586,32</t>
  </si>
  <si>
    <t>'R$ '250,56</t>
  </si>
  <si>
    <t>'R$ '1.010,18</t>
  </si>
  <si>
    <t>'R$ '681,66</t>
  </si>
  <si>
    <t>'R$ '389,52</t>
  </si>
  <si>
    <t>'R$ '37,59</t>
  </si>
  <si>
    <t>'R$ '161,64</t>
  </si>
  <si>
    <t>'R$ '28,72</t>
  </si>
  <si>
    <t>'R$ '8.632,00</t>
  </si>
  <si>
    <t>'R$ '1.762,25</t>
  </si>
  <si>
    <t>'R$ '914,28</t>
  </si>
  <si>
    <t>'R$ '304,76</t>
  </si>
  <si>
    <t>'R$ '291,72</t>
  </si>
  <si>
    <t>'R$ '47,81</t>
  </si>
  <si>
    <t>'R$ '214,20</t>
  </si>
  <si>
    <t>'R$ '253,35</t>
  </si>
  <si>
    <t>'R$ '307,89</t>
  </si>
  <si>
    <t>'R$ '185,58</t>
  </si>
  <si>
    <t>'R$ '89,64</t>
  </si>
  <si>
    <t>'R$ '251,75</t>
  </si>
  <si>
    <t>'R$ '10.822,50</t>
  </si>
  <si>
    <t>'R$ '7.824,16</t>
  </si>
  <si>
    <t>'R$ '7.814,30</t>
  </si>
  <si>
    <t>'R$ '1.310,80</t>
  </si>
  <si>
    <t>'R$ '5.274,36</t>
  </si>
  <si>
    <t>'R$ '175,80</t>
  </si>
  <si>
    <t>'R$ '776,36</t>
  </si>
  <si>
    <t>'R$ '484,56</t>
  </si>
  <si>
    <t>'R$ '1.982,50</t>
  </si>
  <si>
    <t>'R$ '1.050,21</t>
  </si>
  <si>
    <t>'R$ '3.883,40</t>
  </si>
  <si>
    <t>'R$ '1.012,45</t>
  </si>
  <si>
    <t>'R$ '1.214,94</t>
  </si>
  <si>
    <t>'R$ '221,70</t>
  </si>
  <si>
    <t>'R$ '1.980,96</t>
  </si>
  <si>
    <t>'R$ '477,66</t>
  </si>
  <si>
    <t>'R$ '1.245,51</t>
  </si>
  <si>
    <t>'R$ '2.443,68</t>
  </si>
  <si>
    <t>'R$ '389,76</t>
  </si>
  <si>
    <t>'R$ '407,68</t>
  </si>
  <si>
    <t>'R$ '1.098,24</t>
  </si>
  <si>
    <t>'R$ '232,32</t>
  </si>
  <si>
    <t>'R$ '1.656,00</t>
  </si>
  <si>
    <t>'R$ '756,24</t>
  </si>
  <si>
    <t>'R$ '3.177,18</t>
  </si>
  <si>
    <t>'R$ '1.867,85</t>
  </si>
  <si>
    <t>'R$ '2.710,68</t>
  </si>
  <si>
    <t>'R$ '1.175,69</t>
  </si>
  <si>
    <t>'R$ '4.503,85</t>
  </si>
  <si>
    <t>'R$ '1.103,98</t>
  </si>
  <si>
    <t>'R$ '369,54</t>
  </si>
  <si>
    <t>'R$ '696,36</t>
  </si>
  <si>
    <t>'R$ '3.271,20</t>
  </si>
  <si>
    <t>'R$ '1.984,80</t>
  </si>
  <si>
    <t>'R$ '4.735,82</t>
  </si>
  <si>
    <t>'R$ '1.253,24</t>
  </si>
  <si>
    <t>'R$ '673,58</t>
  </si>
  <si>
    <t>'R$ '121,86</t>
  </si>
  <si>
    <t>'R$ '1.831,08</t>
  </si>
  <si>
    <t>'R$ '14,38</t>
  </si>
  <si>
    <t>'R$ '142,56</t>
  </si>
  <si>
    <t>'R$ '334,36</t>
  </si>
  <si>
    <t>'R$ '42,13</t>
  </si>
  <si>
    <t>'R$ '181,68</t>
  </si>
  <si>
    <t>'R$ '101,42</t>
  </si>
  <si>
    <t>'R$ '304,26</t>
  </si>
  <si>
    <t>'R$ '68,70</t>
  </si>
  <si>
    <t>'R$ '119,22</t>
  </si>
  <si>
    <t>'R$ '1.176,48</t>
  </si>
  <si>
    <t>'R$ '1.082,16</t>
  </si>
  <si>
    <t>'R$ '1.832,89</t>
  </si>
  <si>
    <t>'R$ '3.537,11</t>
  </si>
  <si>
    <t>'R$ '1.980,45</t>
  </si>
  <si>
    <t>'R$ '1.272,93</t>
  </si>
  <si>
    <t>'R$ '145,19</t>
  </si>
  <si>
    <t>'R$ '4.622,19</t>
  </si>
  <si>
    <t>'R$ '489,31</t>
  </si>
  <si>
    <t>'R$ '2.806,98</t>
  </si>
  <si>
    <t>'R$ '2.365,88</t>
  </si>
  <si>
    <t>'R$ '3.872,12</t>
  </si>
  <si>
    <t>'R$ '813,19</t>
  </si>
  <si>
    <t>'R$ '7.062,93</t>
  </si>
  <si>
    <t>'R$ '126,22</t>
  </si>
  <si>
    <t>'R$ '147,02</t>
  </si>
  <si>
    <t>'R$ '789,12</t>
  </si>
  <si>
    <t>'R$ '852,84</t>
  </si>
  <si>
    <t>'R$ '1.543,60</t>
  </si>
  <si>
    <t>'R$ '394,00</t>
  </si>
  <si>
    <t>'R$ '358,76</t>
  </si>
  <si>
    <t>'R$ '987,42</t>
  </si>
  <si>
    <t>'R$ '1.553,28</t>
  </si>
  <si>
    <t>'R$ '152,71</t>
  </si>
  <si>
    <t>'R$ '1.149,06</t>
  </si>
  <si>
    <t>'R$ '90,10</t>
  </si>
  <si>
    <t>'R$ '310,88</t>
  </si>
  <si>
    <t>'R$ '77,72</t>
  </si>
  <si>
    <t>'R$ '30,26</t>
  </si>
  <si>
    <t>'R$ '221,58</t>
  </si>
  <si>
    <t>'R$ '479,60</t>
  </si>
  <si>
    <t>'R$ '254,20</t>
  </si>
  <si>
    <t>'R$ '273,32</t>
  </si>
  <si>
    <t>'R$ '449,30</t>
  </si>
  <si>
    <t>'R$ '3.119,96</t>
  </si>
  <si>
    <t>'R$ '237,60</t>
  </si>
  <si>
    <t>'R$ '1.219,85</t>
  </si>
  <si>
    <t>'R$ '6.888,00</t>
  </si>
  <si>
    <t>'R$ '2.334,72</t>
  </si>
  <si>
    <t>'R$ '6.908,44</t>
  </si>
  <si>
    <t>'R$ '3.451,38</t>
  </si>
  <si>
    <t>'R$ '6.299,47</t>
  </si>
  <si>
    <t>'R$ '285,91</t>
  </si>
  <si>
    <t>'R$ '1.922,00</t>
  </si>
  <si>
    <t>'R$ '848,11</t>
  </si>
  <si>
    <t>'R$ '1.786,51</t>
  </si>
  <si>
    <t>'R$ '1.548,00</t>
  </si>
  <si>
    <t>'R$ '2.986,90</t>
  </si>
  <si>
    <t>'R$ '22.487,08</t>
  </si>
  <si>
    <t>'R$ '1.495,47</t>
  </si>
  <si>
    <t>'R$ '12.088,40</t>
  </si>
  <si>
    <t>'R$ '728,99</t>
  </si>
  <si>
    <t>'R$ '1.387,54</t>
  </si>
  <si>
    <t>'R$ '2.906,97</t>
  </si>
  <si>
    <t>'R$ '18.577,13</t>
  </si>
  <si>
    <t>'R$ '3.230,40</t>
  </si>
  <si>
    <t>'R$ '21.306,13</t>
  </si>
  <si>
    <t>'R$ '14.300,78</t>
  </si>
  <si>
    <t>'R$ '1.622,82</t>
  </si>
  <si>
    <t>'R$ '2.850,95</t>
  </si>
  <si>
    <t>'R$ '737,84</t>
  </si>
  <si>
    <t>'R$ '1.868,30</t>
  </si>
  <si>
    <t>'R$ '104,49</t>
  </si>
  <si>
    <t>'R$ '152,18</t>
  </si>
  <si>
    <t>'R$ '58,59</t>
  </si>
  <si>
    <t>'R$ '128,50</t>
  </si>
  <si>
    <t>'R$ '1.259,92</t>
  </si>
  <si>
    <t>'R$ '3.167,12</t>
  </si>
  <si>
    <t>'R$ '25.547,40</t>
  </si>
  <si>
    <t>'R$ '3.085,47</t>
  </si>
  <si>
    <t>'R$ '211,92</t>
  </si>
  <si>
    <t>'R$ '102,37</t>
  </si>
  <si>
    <t>'R$ '960,08</t>
  </si>
  <si>
    <t>'R$ '96,73</t>
  </si>
  <si>
    <t>'R$ '831,47</t>
  </si>
  <si>
    <t>'R$ '433,49</t>
  </si>
  <si>
    <t>'R$ '6.604,94</t>
  </si>
  <si>
    <t>'R$ '1.471,08</t>
  </si>
  <si>
    <t>'R$ '1.579,61</t>
  </si>
  <si>
    <t>'R$ '198,00</t>
  </si>
  <si>
    <t>'R$ '230,16</t>
  </si>
  <si>
    <t>'R$ '70,47</t>
  </si>
  <si>
    <t>'R$ '3.266,91</t>
  </si>
  <si>
    <t>'R$ '2.991,65</t>
  </si>
  <si>
    <t>'R$ '968,24</t>
  </si>
  <si>
    <t>'R$ '76,38</t>
  </si>
  <si>
    <t>'R$ '357,60</t>
  </si>
  <si>
    <t>'R$ '3.645,06</t>
  </si>
  <si>
    <t>'R$ '123,92</t>
  </si>
  <si>
    <t>'R$ '649,64</t>
  </si>
  <si>
    <t>'R$ '474,39</t>
  </si>
  <si>
    <t>'R$ '836,95</t>
  </si>
  <si>
    <t>'R$ '199,84</t>
  </si>
  <si>
    <t>'R$ '185,80</t>
  </si>
  <si>
    <t>'R$ '7.484,09</t>
  </si>
  <si>
    <t>'R$ '357,20</t>
  </si>
  <si>
    <t>'R$ '2.075,17</t>
  </si>
  <si>
    <t>'R$ '92,16</t>
  </si>
  <si>
    <t>'R$ '63,20</t>
  </si>
  <si>
    <t>'R$ '1.764,74</t>
  </si>
  <si>
    <t>'R$ '4.093,53</t>
  </si>
  <si>
    <t>'R$ '577,43</t>
  </si>
  <si>
    <t>'R$ '453,56</t>
  </si>
  <si>
    <t>'R$ '9.029,13</t>
  </si>
  <si>
    <t>'R$ '150,24</t>
  </si>
  <si>
    <t>'R$ '502,20</t>
  </si>
  <si>
    <t>'R$ '348,37</t>
  </si>
  <si>
    <t>'R$ '115,60</t>
  </si>
  <si>
    <t>'R$ '403,35</t>
  </si>
  <si>
    <t>'R$ '862,95</t>
  </si>
  <si>
    <t>'R$ '339,21</t>
  </si>
  <si>
    <t>'R$ '2.064,03</t>
  </si>
  <si>
    <t>'R$ '663,66</t>
  </si>
  <si>
    <t>'R$ '1.073,93</t>
  </si>
  <si>
    <t>'R$ '18.058,04</t>
  </si>
  <si>
    <t>'R$ '8.512,11</t>
  </si>
  <si>
    <t>'R$ '515,68</t>
  </si>
  <si>
    <t>'R$ '4.663,58</t>
  </si>
  <si>
    <t>'R$ '1.436,60</t>
  </si>
  <si>
    <t>'R$ '4.159,38</t>
  </si>
  <si>
    <t>'R$ '24.472,16</t>
  </si>
  <si>
    <t>'R$ '13.180,67</t>
  </si>
  <si>
    <t>'R$ '7.521,52</t>
  </si>
  <si>
    <t>'R$ '9.147,01</t>
  </si>
  <si>
    <t>'R$ '5.080,84</t>
  </si>
  <si>
    <t>'R$ '817,28</t>
  </si>
  <si>
    <t>'R$ '5.040,16</t>
  </si>
  <si>
    <t>'R$ '36,18</t>
  </si>
  <si>
    <t>'R$ '1.720,94</t>
  </si>
  <si>
    <t>'R$ '613,98</t>
  </si>
  <si>
    <t>BDI :</t>
  </si>
  <si>
    <t>Fonte</t>
  </si>
  <si>
    <t>2024/03</t>
  </si>
  <si>
    <t>SEM DESONERAÇÃO</t>
  </si>
  <si>
    <t>SP OBRAS</t>
  </si>
  <si>
    <t>Edificação principal da Creche Tipo 2</t>
  </si>
  <si>
    <t>Obra: Creche Tipo 2 - opção 220V</t>
  </si>
  <si>
    <t>Planilha Orçamentária: TIPO2-PLN-AT7-S220-R02</t>
  </si>
  <si>
    <t>Unidade federativa: MINAS GERAIS</t>
  </si>
  <si>
    <t xml:space="preserve">Fundo Nacional de Desenvolvimento da Educação - CNPJ: 00.378.257/0001-81- Brasília/DF.
Observações:
1- Esta planilha possui caráter referencial de modo a subsidiar a elaboração da planilha de licitação. Os itens devem ser revistos e adequados ao projeto básico, desenvolvido localmente que deverá conter elementos de adaptação do projeto-padrão ao contexto local (terreno, solo, legislação municipal e normas das concessionárias).
2- O desenvolvimento do projeto básico, que inclui projeto de fundações, e elaboração da planilha de licitação são de responsabilidade dos entes federativos.
3- As fundações a serem executadas deverão ser adequadas ao tipo de solo da região, sendo esta, uma responsabilidade do ente federativo.
4- Cada ente federativo deve consultar a planilha de referência da sua unidade federativa, considerando a voltagem da região.
5- Para valores de referência de material/equipamentos não encontrados na tabela SINAPI, foram adotados valores de referência da fonte "SPOBRAS", mantendo os demais insumos, como mão-de-obra do SINAPI. Dessa forma, foram preservados os mesmos encargos sociais para toda a planilha.
6- Para valores de referência de material/equipamentos não encontrados na tabela SINAPI nem na tabela do "SPOBRAS", foram criadas composições próprias com código FNDE, mantendo os demais insumos, como a mão de obra do SINAPI. Dessa forma, foram preservados os mesmos encargos sociais para toda a planilha.
7- As referências do SINAPI são divulgadas nos relatórios com legenda de identificação da origem do preço: (C) preço do insumo coletado pelo IBGE; (CR) preço obtido por meio do coeficiente de representatividade do insumo – metodologia de família homogênea; ou (AS) preço atribuído com base no preço do insumo para a localidade de São Paulo/SP.
8- A utilização de referências de identificação da origem do preço é decisão do orçamentista, que deve verificar se o preço é adequado para a localidade a que se destina o orçamento, considerando a relevância do insumo no custo total do orçamento. 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</si>
  <si>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</si>
  <si>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</si>
  <si>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</si>
  <si>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</si>
  <si>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</si>
  <si>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</si>
  <si>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</si>
  <si>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</si>
  <si>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</si>
  <si>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</si>
  <si>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</si>
  <si>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</si>
  <si>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</si>
  <si>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FILTRO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</si>
  <si>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</si>
  <si>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</si>
  <si>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</si>
  <si>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</si>
  <si>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↓</t>
  </si>
  <si>
    <t>Sobre a base de cálculo, definir a respectiva alíquota do ISS (entre 2% e 5%):</t>
  </si>
  <si>
    <t>F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</si>
  <si>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</si>
  <si>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</si>
  <si>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</si>
  <si>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</si>
  <si>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</si>
  <si>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</si>
  <si>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</si>
  <si>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</si>
  <si>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</si>
  <si>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</si>
  <si>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</si>
  <si>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</si>
  <si>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</si>
  <si>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</si>
  <si>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</si>
  <si>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</si>
  <si>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</si>
  <si>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</si>
  <si>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</si>
  <si>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</si>
  <si>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</si>
  <si>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</si>
  <si>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</si>
  <si>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</si>
  <si>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</si>
  <si>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</si>
  <si>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</si>
  <si>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</si>
  <si>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Observações:</t>
  </si>
  <si>
    <t>Estudos e Projetos, Planos e Gerenciamento e outros correlatos</t>
  </si>
  <si>
    <t>K1</t>
  </si>
  <si>
    <t>K2</t>
  </si>
  <si>
    <t>Local</t>
  </si>
  <si>
    <t>Data</t>
  </si>
  <si>
    <t>K3</t>
  </si>
  <si>
    <t>Responsável Técnico</t>
  </si>
  <si>
    <t>Nome:</t>
  </si>
  <si>
    <t>CREA/CAU:</t>
  </si>
  <si>
    <t>ART/RRT:</t>
  </si>
  <si>
    <t>BDI 2</t>
  </si>
  <si>
    <t>(SELECIONAR)</t>
  </si>
  <si>
    <t>BDI 3</t>
  </si>
  <si>
    <t>Nº TRANSFEREGOV</t>
  </si>
  <si>
    <t>PREÇO
UNITÁRIO COM BDI R$</t>
  </si>
  <si>
    <t>_________________________________________</t>
  </si>
  <si>
    <t>Gerrard Tayon Ferreira Lopo</t>
  </si>
  <si>
    <t>Crea-MG: 289963</t>
  </si>
  <si>
    <t xml:space="preserve">Eng. Civil </t>
  </si>
  <si>
    <t>_________________________________________________</t>
  </si>
  <si>
    <t>Prefeito Municipal</t>
  </si>
  <si>
    <t>Jair Cavalcante Barbosa</t>
  </si>
  <si>
    <t>CRONOGRAMA FÍSICO-FINANCEIRO</t>
  </si>
  <si>
    <t>1 - IDENTIFICAÇÃO</t>
  </si>
  <si>
    <t>Programa:</t>
  </si>
  <si>
    <t>Endereço/Bairro:</t>
  </si>
  <si>
    <t>Município/MG:</t>
  </si>
  <si>
    <t>São João das Missões</t>
  </si>
  <si>
    <t>Data da elaboração do orçamento:</t>
  </si>
  <si>
    <t>DISCRIMINAÇÃO   SERVIÇOS</t>
  </si>
  <si>
    <t>VALOR DOS   SERVIÇOS</t>
  </si>
  <si>
    <t>PESO</t>
  </si>
  <si>
    <t>SERVIÇOS A EXECUTAR</t>
  </si>
  <si>
    <t>MÊS -01</t>
  </si>
  <si>
    <t>MÊS 02</t>
  </si>
  <si>
    <t>MÊS 03</t>
  </si>
  <si>
    <t>MÊS 04</t>
  </si>
  <si>
    <t>MÊS 05</t>
  </si>
  <si>
    <t>%</t>
  </si>
  <si>
    <t>SIMPL.%</t>
  </si>
  <si>
    <t>ACUM. %</t>
  </si>
  <si>
    <t>TOTAL EM PERCENTUAL</t>
  </si>
  <si>
    <t>TOTAL EM REAIS</t>
  </si>
  <si>
    <t>CONTRAPARTIDA</t>
  </si>
  <si>
    <t>REPASSE</t>
  </si>
  <si>
    <t>MÊS 06</t>
  </si>
  <si>
    <t>MÊS 07</t>
  </si>
  <si>
    <t>MÊS 08</t>
  </si>
  <si>
    <t>MÊS 09</t>
  </si>
  <si>
    <t>MÊS 10</t>
  </si>
  <si>
    <t>MÊS 11</t>
  </si>
  <si>
    <t>MÊS 12</t>
  </si>
  <si>
    <t>Responsável Técnico - CREA   - GERRARD TAYON FERREIRA LOPO -  CREA Nº 289963-MG</t>
  </si>
  <si>
    <t xml:space="preserve">ART </t>
  </si>
  <si>
    <t>PREÇO
TOTAL COM BDI R$</t>
  </si>
  <si>
    <t>RUA CANADÁ - COMUNIDADE RANCHARIA - SÃO JOÃO DAS MISSÕES</t>
  </si>
  <si>
    <t xml:space="preserve"> 24/03/2024</t>
  </si>
  <si>
    <t>Programa de Aceleração do Crescimento (PAC)</t>
  </si>
  <si>
    <t>ABRIGO PARA HIDRANTE, 75X45X17CM, COM REGISTRO GLOBO ANGULAR 45 GRAUS 2 1/2", ADAPTADOR STORZ 2 1/2", MANGUEIRA DE INCÊNDIO 15M 2 1/2" E ESGUICHO EM LATÃO 2 1/2" - FORNECIMENTO E INSTALAÇÃO. AF_10/2021</t>
  </si>
  <si>
    <t>PREFEITURA MUNICIPAL DE SÃO JOÃO DAS MISSÕES - MG</t>
  </si>
  <si>
    <t xml:space="preserve">PREFEITURA MUNICIPAL DE SÃO JOÃO DAS MISSÕES - 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</si>
</sst>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\R\$\ #,##0.00"/>
    <numFmt numFmtId="165" formatCode="\'\R\$\ \'###,###,##0.00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General;General"/>
    <numFmt numFmtId="169" formatCode="[$-F800]dddd\,\ mmmm\ dd\,\ yyyy"/>
    <numFmt numFmtId="170" formatCode="dd&quot; de &quot;mmmm&quot; de &quot;yyyy"/>
    <numFmt numFmtId="171" formatCode="&quot;R$&quot;#,##0.00_);\(&quot;R$&quot;#,##0.00\)"/>
    <numFmt numFmtId="172" formatCode="&quot;R$&quot;#,##0.00"/>
  </numFmts>
  <fonts count="35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sz val="8"/>
      <color rgb="FF000000"/>
      <name val="SansSerif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166" fontId="6" fillId="3" borderId="1" applyFont="0" applyFill="0" applyBorder="0" applyAlignment="0" applyProtection="0"/>
    <xf numFmtId="166" fontId="6" fillId="3" borderId="1" applyFont="0" applyFill="0" applyBorder="0" applyAlignment="0" applyProtection="0"/>
    <xf numFmtId="166" fontId="7" fillId="3" borderId="1" applyFont="0" applyFill="0" applyBorder="0" applyAlignment="0" applyProtection="0"/>
    <xf numFmtId="9" fontId="7" fillId="3" borderId="1" applyFont="0" applyFill="0" applyBorder="0" applyAlignment="0" applyProtection="0"/>
    <xf numFmtId="0" fontId="3" fillId="3" borderId="1"/>
    <xf numFmtId="0" fontId="3" fillId="3" borderId="1"/>
    <xf numFmtId="0" fontId="7" fillId="3" borderId="1"/>
    <xf numFmtId="0" fontId="10" fillId="3" borderId="1"/>
    <xf numFmtId="167" fontId="7" fillId="3" borderId="1" applyFill="0" applyBorder="0" applyAlignment="0" applyProtection="0"/>
    <xf numFmtId="0" fontId="10" fillId="3" borderId="1"/>
    <xf numFmtId="9" fontId="3" fillId="0" borderId="0" applyFont="0" applyFill="0" applyBorder="0" applyAlignment="0" applyProtection="0"/>
  </cellStyleXfs>
  <cellXfs count="224">
    <xf numFmtId="0" fontId="0" fillId="0" borderId="0" xfId="0"/>
    <xf numFmtId="0" fontId="5" fillId="3" borderId="3" xfId="1" applyFont="1" applyBorder="1" applyAlignment="1">
      <alignment horizontal="center" wrapText="1"/>
    </xf>
    <xf numFmtId="0" fontId="5" fillId="3" borderId="4" xfId="1" applyFont="1" applyBorder="1" applyAlignment="1">
      <alignment horizontal="center" wrapText="1"/>
    </xf>
    <xf numFmtId="0" fontId="5" fillId="3" borderId="4" xfId="1" applyFont="1" applyBorder="1" applyAlignment="1">
      <alignment horizontal="center" vertical="center" wrapText="1"/>
    </xf>
    <xf numFmtId="166" fontId="5" fillId="3" borderId="4" xfId="15" applyFont="1" applyFill="1" applyBorder="1" applyAlignment="1">
      <alignment horizontal="center" vertical="center" wrapText="1"/>
    </xf>
    <xf numFmtId="0" fontId="5" fillId="3" borderId="5" xfId="1" applyFont="1" applyBorder="1" applyAlignment="1">
      <alignment horizontal="center" vertical="center" wrapText="1"/>
    </xf>
    <xf numFmtId="166" fontId="5" fillId="3" borderId="6" xfId="16" applyFont="1" applyFill="1" applyBorder="1" applyAlignment="1">
      <alignment vertical="center"/>
    </xf>
    <xf numFmtId="0" fontId="5" fillId="3" borderId="1" xfId="1" applyFont="1" applyAlignment="1">
      <alignment horizontal="center"/>
    </xf>
    <xf numFmtId="0" fontId="3" fillId="3" borderId="1" xfId="1" applyAlignment="1">
      <alignment horizontal="left" vertical="center" wrapText="1"/>
    </xf>
    <xf numFmtId="0" fontId="3" fillId="3" borderId="1" xfId="1" applyAlignment="1">
      <alignment horizontal="center" vertical="center" wrapText="1"/>
    </xf>
    <xf numFmtId="166" fontId="7" fillId="3" borderId="1" xfId="15" applyFont="1" applyFill="1" applyBorder="1" applyAlignment="1">
      <alignment horizontal="center" vertical="center" wrapText="1"/>
    </xf>
    <xf numFmtId="166" fontId="5" fillId="3" borderId="1" xfId="17" applyFont="1" applyFill="1" applyBorder="1" applyAlignment="1">
      <alignment horizontal="right" vertical="center" wrapText="1"/>
    </xf>
    <xf numFmtId="10" fontId="5" fillId="5" borderId="7" xfId="18" applyNumberFormat="1" applyFont="1" applyFill="1" applyBorder="1" applyAlignment="1">
      <alignment horizontal="center" vertical="center" wrapText="1"/>
    </xf>
    <xf numFmtId="166" fontId="7" fillId="3" borderId="1" xfId="16" quotePrefix="1" applyFont="1" applyFill="1" applyBorder="1" applyAlignment="1">
      <alignment vertical="center"/>
    </xf>
    <xf numFmtId="166" fontId="5" fillId="3" borderId="3" xfId="16" quotePrefix="1" applyFont="1" applyFill="1" applyBorder="1" applyAlignment="1">
      <alignment vertical="center"/>
    </xf>
    <xf numFmtId="0" fontId="3" fillId="3" borderId="4" xfId="1" applyBorder="1" applyAlignment="1">
      <alignment horizontal="center" vertical="center" wrapText="1"/>
    </xf>
    <xf numFmtId="166" fontId="7" fillId="3" borderId="5" xfId="16" quotePrefix="1" applyFont="1" applyFill="1" applyBorder="1" applyAlignment="1">
      <alignment horizontal="center" vertical="center"/>
    </xf>
    <xf numFmtId="0" fontId="5" fillId="3" borderId="1" xfId="1" applyFont="1" applyAlignment="1">
      <alignment vertical="center"/>
    </xf>
    <xf numFmtId="0" fontId="5" fillId="3" borderId="6" xfId="1" applyFont="1" applyBorder="1" applyAlignment="1">
      <alignment vertical="center"/>
    </xf>
    <xf numFmtId="0" fontId="7" fillId="3" borderId="1" xfId="1" applyFont="1" applyAlignment="1">
      <alignment horizontal="center" vertical="center"/>
    </xf>
    <xf numFmtId="166" fontId="7" fillId="3" borderId="7" xfId="16" quotePrefix="1" applyFont="1" applyFill="1" applyBorder="1" applyAlignment="1">
      <alignment horizontal="center" vertical="center"/>
    </xf>
    <xf numFmtId="0" fontId="5" fillId="3" borderId="8" xfId="1" applyFont="1" applyBorder="1" applyAlignment="1">
      <alignment vertical="center"/>
    </xf>
    <xf numFmtId="0" fontId="7" fillId="3" borderId="9" xfId="1" applyFont="1" applyBorder="1" applyAlignment="1">
      <alignment horizontal="center" vertical="center"/>
    </xf>
    <xf numFmtId="0" fontId="7" fillId="3" borderId="10" xfId="1" applyFont="1" applyBorder="1" applyAlignment="1">
      <alignment horizontal="center" vertical="center"/>
    </xf>
    <xf numFmtId="0" fontId="3" fillId="3" borderId="8" xfId="1" applyBorder="1" applyAlignment="1">
      <alignment horizontal="center"/>
    </xf>
    <xf numFmtId="0" fontId="3" fillId="3" borderId="9" xfId="1" applyBorder="1" applyAlignment="1">
      <alignment horizontal="center"/>
    </xf>
    <xf numFmtId="0" fontId="3" fillId="3" borderId="9" xfId="1" applyBorder="1" applyAlignment="1">
      <alignment horizontal="left" vertical="center"/>
    </xf>
    <xf numFmtId="0" fontId="3" fillId="3" borderId="9" xfId="1" applyBorder="1" applyAlignment="1">
      <alignment horizontal="center" vertical="center"/>
    </xf>
    <xf numFmtId="166" fontId="7" fillId="3" borderId="9" xfId="15" applyFont="1" applyFill="1" applyBorder="1" applyAlignment="1">
      <alignment horizontal="center" vertical="center"/>
    </xf>
    <xf numFmtId="166" fontId="7" fillId="3" borderId="9" xfId="15" applyFont="1" applyFill="1" applyBorder="1" applyAlignment="1">
      <alignment vertical="center"/>
    </xf>
    <xf numFmtId="0" fontId="3" fillId="3" borderId="10" xfId="1" applyBorder="1" applyAlignment="1">
      <alignment vertical="center"/>
    </xf>
    <xf numFmtId="0" fontId="5" fillId="3" borderId="14" xfId="1" applyFont="1" applyBorder="1" applyAlignment="1">
      <alignment horizontal="center" vertical="center"/>
    </xf>
    <xf numFmtId="0" fontId="5" fillId="3" borderId="14" xfId="1" applyFont="1" applyBorder="1" applyAlignment="1">
      <alignment horizontal="left" vertical="center"/>
    </xf>
    <xf numFmtId="166" fontId="5" fillId="3" borderId="14" xfId="15" applyFont="1" applyFill="1" applyBorder="1" applyAlignment="1">
      <alignment horizontal="center" vertical="center"/>
    </xf>
    <xf numFmtId="166" fontId="5" fillId="3" borderId="15" xfId="15" applyFont="1" applyFill="1" applyBorder="1" applyAlignment="1">
      <alignment vertical="center"/>
    </xf>
    <xf numFmtId="0" fontId="0" fillId="3" borderId="0" xfId="0" applyFill="1" applyAlignment="1" applyProtection="1">
      <alignment wrapText="1"/>
      <protection locked="0"/>
    </xf>
    <xf numFmtId="0" fontId="2" fillId="3" borderId="13" xfId="20" applyFont="1" applyBorder="1" applyAlignment="1">
      <alignment horizontal="justify" vertical="center" wrapText="1"/>
    </xf>
    <xf numFmtId="0" fontId="0" fillId="3" borderId="1" xfId="21" applyFont="1"/>
    <xf numFmtId="0" fontId="5" fillId="3" borderId="1" xfId="21" applyFont="1" applyAlignment="1">
      <alignment horizontal="center"/>
    </xf>
    <xf numFmtId="0" fontId="7" fillId="3" borderId="1" xfId="21"/>
    <xf numFmtId="0" fontId="8" fillId="3" borderId="1" xfId="21" applyFont="1" applyAlignment="1">
      <alignment horizontal="center"/>
    </xf>
    <xf numFmtId="0" fontId="5" fillId="3" borderId="18" xfId="21" applyFont="1" applyBorder="1" applyAlignment="1">
      <alignment horizontal="center"/>
    </xf>
    <xf numFmtId="10" fontId="9" fillId="3" borderId="18" xfId="21" applyNumberFormat="1" applyFont="1" applyBorder="1" applyAlignment="1">
      <alignment horizontal="center"/>
    </xf>
    <xf numFmtId="0" fontId="5" fillId="3" borderId="1" xfId="21" applyFont="1"/>
    <xf numFmtId="0" fontId="5" fillId="3" borderId="18" xfId="21" applyFont="1" applyBorder="1" applyAlignment="1">
      <alignment horizontal="center" vertical="center" wrapText="1"/>
    </xf>
    <xf numFmtId="1" fontId="12" fillId="3" borderId="1" xfId="21" applyNumberFormat="1" applyFont="1" applyAlignment="1">
      <alignment horizontal="center" vertical="center"/>
    </xf>
    <xf numFmtId="0" fontId="10" fillId="3" borderId="1" xfId="21" applyFont="1" applyAlignment="1">
      <alignment horizontal="left"/>
    </xf>
    <xf numFmtId="0" fontId="14" fillId="3" borderId="18" xfId="21" applyFont="1" applyBorder="1" applyAlignment="1">
      <alignment horizontal="center" vertical="center"/>
    </xf>
    <xf numFmtId="10" fontId="14" fillId="6" borderId="18" xfId="21" applyNumberFormat="1" applyFont="1" applyFill="1" applyBorder="1" applyAlignment="1" applyProtection="1">
      <alignment horizontal="center" vertical="center"/>
      <protection locked="0"/>
    </xf>
    <xf numFmtId="10" fontId="14" fillId="3" borderId="18" xfId="21" applyNumberFormat="1" applyFont="1" applyBorder="1" applyAlignment="1">
      <alignment horizontal="center" vertical="center"/>
    </xf>
    <xf numFmtId="10" fontId="14" fillId="3" borderId="18" xfId="21" applyNumberFormat="1" applyFont="1" applyBorder="1" applyAlignment="1">
      <alignment horizontal="center" vertical="center" wrapText="1"/>
    </xf>
    <xf numFmtId="0" fontId="14" fillId="3" borderId="18" xfId="21" applyFont="1" applyBorder="1" applyAlignment="1">
      <alignment horizontal="center" vertical="center" wrapText="1"/>
    </xf>
    <xf numFmtId="0" fontId="14" fillId="8" borderId="18" xfId="21" applyFont="1" applyFill="1" applyBorder="1" applyAlignment="1">
      <alignment horizontal="center" vertical="center" wrapText="1"/>
    </xf>
    <xf numFmtId="10" fontId="13" fillId="8" borderId="18" xfId="21" applyNumberFormat="1" applyFont="1" applyFill="1" applyBorder="1" applyAlignment="1">
      <alignment horizontal="center" vertical="center"/>
    </xf>
    <xf numFmtId="0" fontId="15" fillId="3" borderId="1" xfId="21" applyFont="1" applyAlignment="1">
      <alignment horizontal="right" vertical="center"/>
    </xf>
    <xf numFmtId="0" fontId="0" fillId="3" borderId="1" xfId="21" applyFont="1" applyAlignment="1">
      <alignment horizontal="center" vertical="top"/>
    </xf>
    <xf numFmtId="0" fontId="17" fillId="3" borderId="1" xfId="21" applyFont="1" applyAlignment="1">
      <alignment horizontal="right" vertical="center"/>
    </xf>
    <xf numFmtId="0" fontId="17" fillId="3" borderId="1" xfId="21" applyFont="1" applyAlignment="1">
      <alignment horizontal="left" vertical="center"/>
    </xf>
    <xf numFmtId="0" fontId="17" fillId="3" borderId="1" xfId="21" applyFont="1" applyAlignment="1">
      <alignment horizontal="center" vertical="top"/>
    </xf>
    <xf numFmtId="0" fontId="19" fillId="3" borderId="1" xfId="21" applyFont="1" applyAlignment="1">
      <alignment horizontal="center" vertical="top"/>
    </xf>
    <xf numFmtId="170" fontId="0" fillId="3" borderId="1" xfId="21" applyNumberFormat="1" applyFont="1"/>
    <xf numFmtId="0" fontId="5" fillId="3" borderId="21" xfId="21" applyFont="1" applyBorder="1" applyAlignment="1">
      <alignment horizontal="left"/>
    </xf>
    <xf numFmtId="0" fontId="0" fillId="3" borderId="21" xfId="21" applyFont="1" applyBorder="1"/>
    <xf numFmtId="0" fontId="14" fillId="3" borderId="1" xfId="21" applyFont="1"/>
    <xf numFmtId="0" fontId="5" fillId="3" borderId="1" xfId="22" applyFont="1" applyAlignment="1">
      <alignment horizontal="left" vertical="top"/>
    </xf>
    <xf numFmtId="0" fontId="0" fillId="3" borderId="1" xfId="21" applyFont="1" applyAlignment="1">
      <alignment vertical="top"/>
    </xf>
    <xf numFmtId="168" fontId="0" fillId="3" borderId="1" xfId="21" applyNumberFormat="1" applyFont="1"/>
    <xf numFmtId="168" fontId="0" fillId="3" borderId="1" xfId="21" applyNumberFormat="1" applyFont="1" applyAlignment="1">
      <alignment vertical="top"/>
    </xf>
    <xf numFmtId="166" fontId="5" fillId="3" borderId="23" xfId="15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22" fillId="3" borderId="1" xfId="24" applyNumberFormat="1" applyFont="1"/>
    <xf numFmtId="2" fontId="23" fillId="3" borderId="1" xfId="24" applyNumberFormat="1" applyFont="1" applyAlignment="1">
      <alignment horizontal="centerContinuous"/>
    </xf>
    <xf numFmtId="2" fontId="22" fillId="3" borderId="1" xfId="24" applyNumberFormat="1" applyFont="1" applyAlignment="1">
      <alignment horizontal="centerContinuous"/>
    </xf>
    <xf numFmtId="0" fontId="22" fillId="3" borderId="1" xfId="21" applyFont="1" applyAlignment="1">
      <alignment horizontal="centerContinuous"/>
    </xf>
    <xf numFmtId="0" fontId="22" fillId="3" borderId="1" xfId="21" applyFont="1"/>
    <xf numFmtId="2" fontId="22" fillId="3" borderId="1" xfId="21" applyNumberFormat="1" applyFont="1"/>
    <xf numFmtId="4" fontId="22" fillId="3" borderId="1" xfId="21" applyNumberFormat="1" applyFont="1"/>
    <xf numFmtId="10" fontId="22" fillId="3" borderId="1" xfId="21" applyNumberFormat="1" applyFont="1" applyAlignment="1">
      <alignment horizontal="center"/>
    </xf>
    <xf numFmtId="0" fontId="23" fillId="3" borderId="1" xfId="21" applyFont="1"/>
    <xf numFmtId="10" fontId="23" fillId="3" borderId="1" xfId="21" applyNumberFormat="1" applyFont="1" applyAlignment="1">
      <alignment horizontal="center"/>
    </xf>
    <xf numFmtId="0" fontId="23" fillId="3" borderId="27" xfId="21" applyFont="1" applyBorder="1"/>
    <xf numFmtId="0" fontId="23" fillId="3" borderId="15" xfId="21" applyFont="1" applyBorder="1"/>
    <xf numFmtId="0" fontId="23" fillId="3" borderId="23" xfId="21" applyFont="1" applyBorder="1"/>
    <xf numFmtId="0" fontId="22" fillId="3" borderId="23" xfId="21" applyFont="1" applyBorder="1"/>
    <xf numFmtId="4" fontId="22" fillId="3" borderId="23" xfId="21" applyNumberFormat="1" applyFont="1" applyBorder="1"/>
    <xf numFmtId="2" fontId="22" fillId="3" borderId="1" xfId="24" applyNumberFormat="1" applyFont="1" applyAlignment="1">
      <alignment horizontal="center"/>
    </xf>
    <xf numFmtId="2" fontId="23" fillId="3" borderId="27" xfId="24" applyNumberFormat="1" applyFont="1" applyBorder="1" applyAlignment="1">
      <alignment horizontal="center"/>
    </xf>
    <xf numFmtId="2" fontId="23" fillId="3" borderId="28" xfId="24" applyNumberFormat="1" applyFont="1" applyBorder="1" applyAlignment="1" applyProtection="1">
      <alignment horizontal="centerContinuous"/>
      <protection locked="0"/>
    </xf>
    <xf numFmtId="2" fontId="23" fillId="3" borderId="30" xfId="24" applyNumberFormat="1" applyFont="1" applyBorder="1" applyAlignment="1">
      <alignment horizontal="centerContinuous"/>
    </xf>
    <xf numFmtId="2" fontId="23" fillId="3" borderId="32" xfId="24" applyNumberFormat="1" applyFont="1" applyBorder="1" applyAlignment="1" applyProtection="1">
      <alignment horizontal="centerContinuous"/>
      <protection locked="0"/>
    </xf>
    <xf numFmtId="2" fontId="23" fillId="3" borderId="22" xfId="24" applyNumberFormat="1" applyFont="1" applyBorder="1" applyAlignment="1">
      <alignment horizontal="centerContinuous"/>
    </xf>
    <xf numFmtId="2" fontId="23" fillId="3" borderId="27" xfId="24" applyNumberFormat="1" applyFont="1" applyBorder="1" applyAlignment="1" applyProtection="1">
      <alignment horizontal="centerContinuous"/>
      <protection locked="0"/>
    </xf>
    <xf numFmtId="2" fontId="23" fillId="3" borderId="27" xfId="24" applyNumberFormat="1" applyFont="1" applyBorder="1" applyAlignment="1">
      <alignment horizontal="centerContinuous"/>
    </xf>
    <xf numFmtId="2" fontId="23" fillId="3" borderId="14" xfId="24" applyNumberFormat="1" applyFont="1" applyBorder="1" applyAlignment="1">
      <alignment horizontal="center"/>
    </xf>
    <xf numFmtId="2" fontId="23" fillId="3" borderId="31" xfId="24" applyNumberFormat="1" applyFont="1" applyBorder="1" applyAlignment="1">
      <alignment horizontal="centerContinuous"/>
    </xf>
    <xf numFmtId="2" fontId="23" fillId="3" borderId="32" xfId="24" applyNumberFormat="1" applyFont="1" applyBorder="1" applyAlignment="1">
      <alignment horizontal="centerContinuous"/>
    </xf>
    <xf numFmtId="0" fontId="22" fillId="3" borderId="27" xfId="21" applyFont="1" applyBorder="1" applyAlignment="1">
      <alignment horizontal="center"/>
    </xf>
    <xf numFmtId="4" fontId="24" fillId="3" borderId="27" xfId="21" applyNumberFormat="1" applyFont="1" applyBorder="1" applyAlignment="1">
      <alignment horizontal="center"/>
    </xf>
    <xf numFmtId="10" fontId="25" fillId="3" borderId="27" xfId="24" applyNumberFormat="1" applyFont="1" applyBorder="1" applyAlignment="1">
      <alignment horizontal="center"/>
    </xf>
    <xf numFmtId="10" fontId="22" fillId="9" borderId="27" xfId="24" applyNumberFormat="1" applyFont="1" applyFill="1" applyBorder="1"/>
    <xf numFmtId="10" fontId="26" fillId="3" borderId="27" xfId="24" applyNumberFormat="1" applyFont="1" applyBorder="1" applyAlignment="1" applyProtection="1">
      <alignment horizontal="center"/>
      <protection locked="0"/>
    </xf>
    <xf numFmtId="10" fontId="27" fillId="3" borderId="27" xfId="24" applyNumberFormat="1" applyFont="1" applyBorder="1" applyAlignment="1">
      <alignment horizontal="center"/>
    </xf>
    <xf numFmtId="2" fontId="22" fillId="3" borderId="6" xfId="24" applyNumberFormat="1" applyFont="1" applyBorder="1"/>
    <xf numFmtId="2" fontId="22" fillId="9" borderId="27" xfId="24" applyNumberFormat="1" applyFont="1" applyFill="1" applyBorder="1" applyAlignment="1">
      <alignment horizontal="center"/>
    </xf>
    <xf numFmtId="171" fontId="23" fillId="3" borderId="27" xfId="24" applyNumberFormat="1" applyFont="1" applyBorder="1" applyAlignment="1">
      <alignment horizontal="center"/>
    </xf>
    <xf numFmtId="171" fontId="22" fillId="9" borderId="27" xfId="24" applyNumberFormat="1" applyFont="1" applyFill="1" applyBorder="1"/>
    <xf numFmtId="2" fontId="22" fillId="3" borderId="12" xfId="24" applyNumberFormat="1" applyFont="1" applyBorder="1"/>
    <xf numFmtId="172" fontId="28" fillId="10" borderId="27" xfId="24" applyNumberFormat="1" applyFont="1" applyFill="1" applyBorder="1" applyAlignment="1">
      <alignment horizontal="center"/>
    </xf>
    <xf numFmtId="0" fontId="29" fillId="3" borderId="1" xfId="21" applyFont="1" applyAlignment="1">
      <alignment vertical="center"/>
    </xf>
    <xf numFmtId="10" fontId="5" fillId="4" borderId="1" xfId="18" applyNumberFormat="1" applyFont="1" applyFill="1" applyBorder="1" applyAlignment="1">
      <alignment horizontal="center" vertical="center" wrapText="1"/>
    </xf>
    <xf numFmtId="10" fontId="5" fillId="0" borderId="7" xfId="18" applyNumberFormat="1" applyFont="1" applyFill="1" applyBorder="1" applyAlignment="1">
      <alignment horizontal="center" vertical="center" wrapText="1"/>
    </xf>
    <xf numFmtId="166" fontId="5" fillId="3" borderId="38" xfId="15" applyFont="1" applyFill="1" applyBorder="1" applyAlignment="1">
      <alignment horizontal="center" vertical="center" wrapText="1"/>
    </xf>
    <xf numFmtId="166" fontId="7" fillId="3" borderId="38" xfId="16" quotePrefix="1" applyFont="1" applyFill="1" applyBorder="1" applyAlignment="1">
      <alignment horizontal="center" vertical="center"/>
    </xf>
    <xf numFmtId="0" fontId="7" fillId="3" borderId="38" xfId="1" applyFont="1" applyBorder="1" applyAlignment="1">
      <alignment horizontal="center" vertical="center"/>
    </xf>
    <xf numFmtId="10" fontId="5" fillId="5" borderId="9" xfId="18" applyNumberFormat="1" applyFont="1" applyFill="1" applyBorder="1" applyAlignment="1">
      <alignment horizontal="center" vertical="center" wrapText="1"/>
    </xf>
    <xf numFmtId="0" fontId="3" fillId="3" borderId="9" xfId="1" applyBorder="1" applyAlignment="1">
      <alignment vertical="center"/>
    </xf>
    <xf numFmtId="43" fontId="5" fillId="3" borderId="37" xfId="1" applyNumberFormat="1" applyFont="1" applyBorder="1" applyAlignment="1">
      <alignment vertical="center"/>
    </xf>
    <xf numFmtId="43" fontId="5" fillId="3" borderId="39" xfId="1" applyNumberFormat="1" applyFont="1" applyBorder="1" applyAlignment="1">
      <alignment vertical="center"/>
    </xf>
    <xf numFmtId="9" fontId="0" fillId="0" borderId="0" xfId="25" applyFont="1"/>
    <xf numFmtId="0" fontId="31" fillId="2" borderId="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center" wrapText="1"/>
    </xf>
    <xf numFmtId="164" fontId="31" fillId="3" borderId="24" xfId="0" applyNumberFormat="1" applyFont="1" applyFill="1" applyBorder="1" applyAlignment="1">
      <alignment horizontal="right" vertical="center" wrapText="1"/>
    </xf>
    <xf numFmtId="164" fontId="31" fillId="3" borderId="27" xfId="0" applyNumberFormat="1" applyFont="1" applyFill="1" applyBorder="1" applyAlignment="1">
      <alignment horizontal="righ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justify" vertical="center" wrapText="1"/>
    </xf>
    <xf numFmtId="4" fontId="32" fillId="3" borderId="2" xfId="0" applyNumberFormat="1" applyFont="1" applyFill="1" applyBorder="1" applyAlignment="1">
      <alignment horizontal="right" vertical="center" wrapText="1"/>
    </xf>
    <xf numFmtId="164" fontId="32" fillId="3" borderId="2" xfId="0" applyNumberFormat="1" applyFont="1" applyFill="1" applyBorder="1" applyAlignment="1">
      <alignment horizontal="right" vertical="center" wrapText="1"/>
    </xf>
    <xf numFmtId="165" fontId="32" fillId="3" borderId="24" xfId="0" applyNumberFormat="1" applyFont="1" applyFill="1" applyBorder="1" applyAlignment="1">
      <alignment horizontal="right" vertical="center" wrapText="1"/>
    </xf>
    <xf numFmtId="165" fontId="32" fillId="3" borderId="27" xfId="0" applyNumberFormat="1" applyFont="1" applyFill="1" applyBorder="1" applyAlignment="1">
      <alignment horizontal="right" vertical="center" wrapText="1"/>
    </xf>
    <xf numFmtId="165" fontId="31" fillId="3" borderId="24" xfId="0" applyNumberFormat="1" applyFont="1" applyFill="1" applyBorder="1" applyAlignment="1">
      <alignment horizontal="right" vertical="center" wrapText="1"/>
    </xf>
    <xf numFmtId="165" fontId="31" fillId="3" borderId="27" xfId="0" applyNumberFormat="1" applyFont="1" applyFill="1" applyBorder="1" applyAlignment="1">
      <alignment horizontal="right" vertical="center" wrapText="1"/>
    </xf>
    <xf numFmtId="0" fontId="33" fillId="3" borderId="0" xfId="0" applyFont="1" applyFill="1" applyAlignment="1" applyProtection="1">
      <alignment wrapText="1"/>
      <protection locked="0"/>
    </xf>
    <xf numFmtId="0" fontId="31" fillId="3" borderId="1" xfId="0" applyFont="1" applyFill="1" applyBorder="1" applyAlignment="1">
      <alignment horizontal="right" vertical="center" wrapText="1"/>
    </xf>
    <xf numFmtId="0" fontId="33" fillId="3" borderId="1" xfId="0" applyFont="1" applyFill="1" applyBorder="1" applyAlignment="1" applyProtection="1">
      <alignment wrapText="1"/>
      <protection locked="0"/>
    </xf>
    <xf numFmtId="164" fontId="31" fillId="3" borderId="31" xfId="0" applyNumberFormat="1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2" fillId="3" borderId="11" xfId="20" applyFont="1" applyBorder="1" applyAlignment="1">
      <alignment horizontal="justify" vertical="center" wrapText="1"/>
    </xf>
    <xf numFmtId="0" fontId="2" fillId="3" borderId="12" xfId="20" applyFont="1" applyBorder="1" applyAlignment="1">
      <alignment horizontal="justify" vertical="center" wrapText="1"/>
    </xf>
    <xf numFmtId="0" fontId="31" fillId="3" borderId="2" xfId="0" applyFont="1" applyFill="1" applyBorder="1" applyAlignment="1">
      <alignment horizontal="left" vertical="center" wrapText="1"/>
    </xf>
    <xf numFmtId="4" fontId="31" fillId="3" borderId="24" xfId="0" applyNumberFormat="1" applyFont="1" applyFill="1" applyBorder="1" applyAlignment="1">
      <alignment horizontal="right" vertical="center" wrapText="1"/>
    </xf>
    <xf numFmtId="4" fontId="31" fillId="3" borderId="25" xfId="0" applyNumberFormat="1" applyFont="1" applyFill="1" applyBorder="1" applyAlignment="1">
      <alignment horizontal="right" vertical="center" wrapText="1"/>
    </xf>
    <xf numFmtId="4" fontId="31" fillId="3" borderId="2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3" borderId="3" xfId="1" applyFont="1" applyBorder="1" applyAlignment="1">
      <alignment horizontal="center" vertical="center" wrapText="1"/>
    </xf>
    <xf numFmtId="0" fontId="4" fillId="3" borderId="4" xfId="1" applyFont="1" applyBorder="1" applyAlignment="1">
      <alignment horizontal="center" vertical="center" wrapText="1"/>
    </xf>
    <xf numFmtId="0" fontId="4" fillId="3" borderId="5" xfId="1" applyFont="1" applyBorder="1" applyAlignment="1">
      <alignment horizontal="center" vertical="center" wrapText="1"/>
    </xf>
    <xf numFmtId="0" fontId="4" fillId="3" borderId="6" xfId="1" applyFont="1" applyBorder="1" applyAlignment="1">
      <alignment horizontal="center" vertical="center" wrapText="1"/>
    </xf>
    <xf numFmtId="0" fontId="4" fillId="3" borderId="1" xfId="1" applyFont="1" applyAlignment="1">
      <alignment horizontal="center" vertical="center" wrapText="1"/>
    </xf>
    <xf numFmtId="0" fontId="4" fillId="3" borderId="7" xfId="1" applyFont="1" applyBorder="1" applyAlignment="1">
      <alignment horizontal="center" vertical="center" wrapText="1"/>
    </xf>
    <xf numFmtId="0" fontId="4" fillId="3" borderId="8" xfId="1" applyFont="1" applyBorder="1" applyAlignment="1">
      <alignment horizontal="center" vertical="center" wrapText="1"/>
    </xf>
    <xf numFmtId="0" fontId="4" fillId="3" borderId="9" xfId="1" applyFont="1" applyBorder="1" applyAlignment="1">
      <alignment horizontal="center" vertical="center" wrapText="1"/>
    </xf>
    <xf numFmtId="0" fontId="4" fillId="3" borderId="10" xfId="1" applyFont="1" applyBorder="1" applyAlignment="1">
      <alignment horizontal="center" vertical="center" wrapText="1"/>
    </xf>
    <xf numFmtId="166" fontId="5" fillId="3" borderId="11" xfId="15" applyFont="1" applyFill="1" applyBorder="1" applyAlignment="1">
      <alignment horizontal="center" vertical="center" wrapText="1"/>
    </xf>
    <xf numFmtId="166" fontId="5" fillId="3" borderId="12" xfId="15" applyFont="1" applyFill="1" applyBorder="1" applyAlignment="1">
      <alignment horizontal="center" vertical="center" wrapText="1"/>
    </xf>
    <xf numFmtId="166" fontId="5" fillId="3" borderId="13" xfId="15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right" vertical="center" wrapText="1"/>
    </xf>
    <xf numFmtId="2" fontId="34" fillId="3" borderId="1" xfId="24" applyNumberFormat="1" applyFont="1" applyAlignment="1">
      <alignment horizontal="center" vertical="center"/>
    </xf>
    <xf numFmtId="2" fontId="22" fillId="3" borderId="22" xfId="24" applyNumberFormat="1" applyFont="1" applyBorder="1" applyAlignment="1">
      <alignment horizontal="center"/>
    </xf>
    <xf numFmtId="0" fontId="23" fillId="3" borderId="1" xfId="21" applyFont="1" applyAlignment="1">
      <alignment horizontal="center"/>
    </xf>
    <xf numFmtId="0" fontId="22" fillId="3" borderId="28" xfId="21" applyFont="1" applyBorder="1" applyAlignment="1">
      <alignment horizontal="left"/>
    </xf>
    <xf numFmtId="0" fontId="22" fillId="3" borderId="29" xfId="21" applyFont="1" applyBorder="1" applyAlignment="1">
      <alignment horizontal="left"/>
    </xf>
    <xf numFmtId="0" fontId="22" fillId="3" borderId="30" xfId="21" applyFont="1" applyBorder="1" applyAlignment="1">
      <alignment horizontal="left"/>
    </xf>
    <xf numFmtId="0" fontId="23" fillId="3" borderId="28" xfId="21" applyFont="1" applyBorder="1" applyAlignment="1">
      <alignment horizontal="left"/>
    </xf>
    <xf numFmtId="0" fontId="23" fillId="3" borderId="29" xfId="21" applyFont="1" applyBorder="1" applyAlignment="1">
      <alignment horizontal="left"/>
    </xf>
    <xf numFmtId="0" fontId="23" fillId="3" borderId="30" xfId="21" applyFont="1" applyBorder="1" applyAlignment="1">
      <alignment horizontal="left"/>
    </xf>
    <xf numFmtId="14" fontId="22" fillId="3" borderId="29" xfId="21" applyNumberFormat="1" applyFont="1" applyBorder="1" applyAlignment="1">
      <alignment horizontal="center"/>
    </xf>
    <xf numFmtId="0" fontId="22" fillId="3" borderId="29" xfId="21" applyFont="1" applyBorder="1" applyAlignment="1">
      <alignment horizontal="center"/>
    </xf>
    <xf numFmtId="0" fontId="23" fillId="3" borderId="27" xfId="21" applyFont="1" applyBorder="1" applyAlignment="1">
      <alignment horizontal="left" wrapText="1"/>
    </xf>
    <xf numFmtId="2" fontId="23" fillId="3" borderId="31" xfId="24" applyNumberFormat="1" applyFont="1" applyBorder="1" applyAlignment="1">
      <alignment horizontal="center"/>
    </xf>
    <xf numFmtId="2" fontId="23" fillId="3" borderId="34" xfId="24" applyNumberFormat="1" applyFont="1" applyBorder="1" applyAlignment="1">
      <alignment horizontal="center"/>
    </xf>
    <xf numFmtId="2" fontId="23" fillId="3" borderId="14" xfId="24" applyNumberFormat="1" applyFont="1" applyBorder="1" applyAlignment="1">
      <alignment horizontal="center"/>
    </xf>
    <xf numFmtId="2" fontId="23" fillId="3" borderId="32" xfId="24" applyNumberFormat="1" applyFont="1" applyBorder="1" applyAlignment="1">
      <alignment horizontal="center" wrapText="1"/>
    </xf>
    <xf numFmtId="2" fontId="23" fillId="3" borderId="33" xfId="24" applyNumberFormat="1" applyFont="1" applyBorder="1" applyAlignment="1">
      <alignment horizontal="center" wrapText="1"/>
    </xf>
    <xf numFmtId="2" fontId="23" fillId="3" borderId="35" xfId="24" applyNumberFormat="1" applyFont="1" applyBorder="1" applyAlignment="1">
      <alignment horizontal="center" wrapText="1"/>
    </xf>
    <xf numFmtId="2" fontId="23" fillId="3" borderId="36" xfId="24" applyNumberFormat="1" applyFont="1" applyBorder="1" applyAlignment="1">
      <alignment horizontal="center" wrapText="1"/>
    </xf>
    <xf numFmtId="2" fontId="23" fillId="3" borderId="15" xfId="24" applyNumberFormat="1" applyFont="1" applyBorder="1" applyAlignment="1">
      <alignment horizontal="center" wrapText="1"/>
    </xf>
    <xf numFmtId="2" fontId="23" fillId="3" borderId="37" xfId="24" applyNumberFormat="1" applyFont="1" applyBorder="1" applyAlignment="1">
      <alignment horizontal="center" wrapText="1"/>
    </xf>
    <xf numFmtId="2" fontId="23" fillId="3" borderId="31" xfId="24" applyNumberFormat="1" applyFont="1" applyBorder="1" applyAlignment="1">
      <alignment horizontal="center" wrapText="1"/>
    </xf>
    <xf numFmtId="2" fontId="23" fillId="3" borderId="34" xfId="24" applyNumberFormat="1" applyFont="1" applyBorder="1" applyAlignment="1">
      <alignment horizontal="center" wrapText="1"/>
    </xf>
    <xf numFmtId="2" fontId="23" fillId="3" borderId="14" xfId="24" applyNumberFormat="1" applyFont="1" applyBorder="1" applyAlignment="1">
      <alignment horizontal="center" wrapText="1"/>
    </xf>
    <xf numFmtId="2" fontId="23" fillId="3" borderId="27" xfId="24" applyNumberFormat="1" applyFont="1" applyBorder="1" applyAlignment="1">
      <alignment horizontal="center"/>
    </xf>
    <xf numFmtId="2" fontId="23" fillId="3" borderId="28" xfId="24" applyNumberFormat="1" applyFont="1" applyBorder="1" applyAlignment="1" applyProtection="1">
      <alignment horizontal="center"/>
      <protection locked="0"/>
    </xf>
    <xf numFmtId="2" fontId="23" fillId="3" borderId="30" xfId="24" applyNumberFormat="1" applyFont="1" applyBorder="1" applyAlignment="1" applyProtection="1">
      <alignment horizontal="center"/>
      <protection locked="0"/>
    </xf>
    <xf numFmtId="49" fontId="22" fillId="3" borderId="1" xfId="24" applyNumberFormat="1" applyFont="1" applyAlignment="1">
      <alignment horizontal="left"/>
    </xf>
    <xf numFmtId="0" fontId="24" fillId="3" borderId="28" xfId="21" applyFont="1" applyBorder="1" applyAlignment="1">
      <alignment horizontal="left"/>
    </xf>
    <xf numFmtId="0" fontId="24" fillId="3" borderId="30" xfId="21" applyFont="1" applyBorder="1" applyAlignment="1">
      <alignment horizontal="left"/>
    </xf>
    <xf numFmtId="0" fontId="24" fillId="3" borderId="28" xfId="21" applyFont="1" applyBorder="1" applyAlignment="1">
      <alignment horizontal="left" wrapText="1"/>
    </xf>
    <xf numFmtId="0" fontId="24" fillId="3" borderId="30" xfId="21" applyFont="1" applyBorder="1" applyAlignment="1">
      <alignment horizontal="left" wrapText="1"/>
    </xf>
    <xf numFmtId="0" fontId="24" fillId="3" borderId="27" xfId="21" applyFont="1" applyBorder="1" applyAlignment="1">
      <alignment horizontal="left"/>
    </xf>
    <xf numFmtId="2" fontId="22" fillId="3" borderId="27" xfId="24" applyNumberFormat="1" applyFont="1" applyBorder="1" applyAlignment="1">
      <alignment horizontal="center"/>
    </xf>
    <xf numFmtId="0" fontId="24" fillId="3" borderId="27" xfId="21" applyFont="1" applyBorder="1" applyAlignment="1">
      <alignment horizontal="left" wrapText="1"/>
    </xf>
    <xf numFmtId="0" fontId="11" fillId="3" borderId="1" xfId="21" applyFont="1" applyAlignment="1">
      <alignment horizontal="center" textRotation="90"/>
    </xf>
    <xf numFmtId="0" fontId="5" fillId="3" borderId="17" xfId="22" applyFont="1" applyBorder="1" applyAlignment="1">
      <alignment horizontal="left" vertical="top"/>
    </xf>
    <xf numFmtId="0" fontId="10" fillId="3" borderId="19" xfId="23" applyNumberFormat="1" applyFont="1" applyFill="1" applyBorder="1" applyAlignment="1" applyProtection="1">
      <alignment horizontal="left" wrapText="1"/>
    </xf>
    <xf numFmtId="0" fontId="10" fillId="3" borderId="18" xfId="21" applyFont="1" applyBorder="1" applyAlignment="1">
      <alignment horizontal="left" wrapText="1"/>
    </xf>
    <xf numFmtId="10" fontId="10" fillId="6" borderId="18" xfId="21" applyNumberFormat="1" applyFont="1" applyFill="1" applyBorder="1" applyAlignment="1" applyProtection="1">
      <alignment horizontal="center"/>
      <protection locked="0"/>
    </xf>
    <xf numFmtId="0" fontId="10" fillId="3" borderId="18" xfId="21" applyFont="1" applyBorder="1" applyAlignment="1">
      <alignment horizontal="left"/>
    </xf>
    <xf numFmtId="0" fontId="7" fillId="3" borderId="17" xfId="21" applyBorder="1" applyAlignment="1">
      <alignment horizontal="center"/>
    </xf>
    <xf numFmtId="0" fontId="5" fillId="3" borderId="19" xfId="21" applyFont="1" applyBorder="1" applyAlignment="1">
      <alignment horizontal="center"/>
    </xf>
    <xf numFmtId="0" fontId="0" fillId="3" borderId="19" xfId="21" applyFont="1" applyBorder="1" applyAlignment="1">
      <alignment horizontal="left" vertical="top" wrapText="1"/>
    </xf>
    <xf numFmtId="0" fontId="5" fillId="3" borderId="18" xfId="21" applyFont="1" applyBorder="1" applyAlignment="1">
      <alignment horizontal="center" vertical="center"/>
    </xf>
    <xf numFmtId="0" fontId="0" fillId="3" borderId="18" xfId="21" applyFont="1" applyBorder="1" applyAlignment="1">
      <alignment horizontal="center" vertical="center" wrapText="1"/>
    </xf>
    <xf numFmtId="4" fontId="13" fillId="3" borderId="18" xfId="21" applyNumberFormat="1" applyFont="1" applyBorder="1" applyAlignment="1">
      <alignment horizontal="center" vertical="center"/>
    </xf>
    <xf numFmtId="0" fontId="8" fillId="3" borderId="18" xfId="21" applyFont="1" applyBorder="1" applyAlignment="1">
      <alignment horizontal="center"/>
    </xf>
    <xf numFmtId="167" fontId="10" fillId="7" borderId="19" xfId="23" applyFont="1" applyFill="1" applyBorder="1" applyAlignment="1" applyProtection="1">
      <alignment horizontal="left"/>
      <protection locked="0"/>
    </xf>
    <xf numFmtId="0" fontId="13" fillId="3" borderId="18" xfId="21" applyFont="1" applyBorder="1" applyAlignment="1">
      <alignment horizontal="center" vertical="center"/>
    </xf>
    <xf numFmtId="4" fontId="13" fillId="3" borderId="18" xfId="21" applyNumberFormat="1" applyFont="1" applyBorder="1" applyAlignment="1">
      <alignment horizontal="center" vertical="center" wrapText="1"/>
    </xf>
    <xf numFmtId="0" fontId="14" fillId="8" borderId="18" xfId="21" applyFont="1" applyFill="1" applyBorder="1" applyAlignment="1">
      <alignment horizontal="center" vertical="center" wrapText="1"/>
    </xf>
    <xf numFmtId="0" fontId="16" fillId="3" borderId="1" xfId="21" applyFont="1" applyAlignment="1">
      <alignment horizontal="left" vertical="center" indent="1"/>
    </xf>
    <xf numFmtId="0" fontId="10" fillId="3" borderId="18" xfId="21" applyFont="1" applyBorder="1" applyAlignment="1">
      <alignment horizontal="left" vertical="center" wrapText="1"/>
    </xf>
    <xf numFmtId="49" fontId="0" fillId="6" borderId="18" xfId="21" applyNumberFormat="1" applyFont="1" applyFill="1" applyBorder="1" applyAlignment="1" applyProtection="1">
      <alignment horizontal="left" vertical="top" wrapText="1"/>
      <protection locked="0"/>
    </xf>
    <xf numFmtId="168" fontId="0" fillId="3" borderId="20" xfId="21" applyNumberFormat="1" applyFont="1" applyBorder="1" applyAlignment="1">
      <alignment horizontal="left"/>
    </xf>
    <xf numFmtId="169" fontId="0" fillId="3" borderId="20" xfId="21" applyNumberFormat="1" applyFont="1" applyBorder="1" applyAlignment="1">
      <alignment horizontal="left"/>
    </xf>
    <xf numFmtId="0" fontId="5" fillId="3" borderId="1" xfId="21" applyFont="1" applyAlignment="1">
      <alignment horizontal="left" vertical="center"/>
    </xf>
    <xf numFmtId="0" fontId="13" fillId="3" borderId="1" xfId="21" applyFont="1" applyAlignment="1">
      <alignment horizontal="left" vertical="center"/>
    </xf>
    <xf numFmtId="0" fontId="0" fillId="3" borderId="1" xfId="21" applyFont="1" applyAlignment="1">
      <alignment horizontal="center" vertical="center"/>
    </xf>
    <xf numFmtId="0" fontId="17" fillId="3" borderId="1" xfId="21" applyFont="1" applyAlignment="1">
      <alignment horizontal="right" vertical="center"/>
    </xf>
    <xf numFmtId="0" fontId="18" fillId="3" borderId="1" xfId="21" applyFont="1" applyAlignment="1">
      <alignment horizontal="center"/>
    </xf>
    <xf numFmtId="0" fontId="17" fillId="3" borderId="1" xfId="21" applyFont="1" applyAlignment="1">
      <alignment horizontal="left" vertical="center"/>
    </xf>
    <xf numFmtId="0" fontId="17" fillId="3" borderId="1" xfId="21" applyFont="1" applyAlignment="1">
      <alignment horizontal="center" vertical="top"/>
    </xf>
    <xf numFmtId="0" fontId="0" fillId="3" borderId="21" xfId="21" applyFont="1" applyBorder="1" applyAlignment="1">
      <alignment horizontal="left" vertical="center"/>
    </xf>
  </cellXfs>
  <cellStyles count="26">
    <cellStyle name="Moeda_Composicao BDI v2.1" xfId="23" xr:uid="{26CB1E52-3677-4674-9A44-23B92918CE3B}"/>
    <cellStyle name="Normal" xfId="0" builtinId="0"/>
    <cellStyle name="Normal 10" xfId="9" xr:uid="{38676E45-B438-4908-9EAB-B21C3669A4C5}"/>
    <cellStyle name="Normal 11" xfId="10" xr:uid="{74D4F2D0-C99C-4E39-AFD5-8D29F9347946}"/>
    <cellStyle name="Normal 12" xfId="11" xr:uid="{00547E3B-E33E-4F6F-A0E5-CCCE2687E558}"/>
    <cellStyle name="Normal 13" xfId="12" xr:uid="{530AFAA2-5103-4F6E-BF4D-3A0EE7810650}"/>
    <cellStyle name="Normal 14" xfId="13" xr:uid="{F31E4E49-A4A1-4ED7-B5DD-2E97A1B6198B}"/>
    <cellStyle name="Normal 15" xfId="14" xr:uid="{0A8AEF09-A212-4969-9F85-B614B1A75FFF}"/>
    <cellStyle name="Normal 2" xfId="1" xr:uid="{A1145D39-6F42-41D2-A6C3-D2CD4B9A3ACF}"/>
    <cellStyle name="Normal 2 3" xfId="21" xr:uid="{6ECB00E6-BE0D-4015-976F-3F62E170610B}"/>
    <cellStyle name="Normal 29" xfId="19" xr:uid="{CCC4C7AA-942E-427D-838A-CC9B8895759A}"/>
    <cellStyle name="Normal 3" xfId="2" xr:uid="{156C213E-221B-491B-9472-A29632F4BBE8}"/>
    <cellStyle name="Normal 4" xfId="3" xr:uid="{5B49549B-7227-426E-A02E-FD62771F413E}"/>
    <cellStyle name="Normal 5" xfId="4" xr:uid="{7E258CD1-AF6A-494F-B8A6-CD9CAACDC44A}"/>
    <cellStyle name="Normal 57" xfId="20" xr:uid="{C974F380-0784-4FDB-B9E1-9D244EEAD57E}"/>
    <cellStyle name="Normal 6" xfId="5" xr:uid="{7A34B552-3B53-44FA-8B26-4154BA0CAD5E}"/>
    <cellStyle name="Normal 7" xfId="6" xr:uid="{0B5A1749-6EA8-4249-B2DD-0FA232D4950C}"/>
    <cellStyle name="Normal 8" xfId="7" xr:uid="{684003FF-E76A-408F-8BAA-66A89EF16748}"/>
    <cellStyle name="Normal 9" xfId="8" xr:uid="{76BE26A5-FBC5-4146-8BC7-328C19C65C24}"/>
    <cellStyle name="Normal_FICHA DE VERIFICAÇÃO PRELIMINAR - Plano R" xfId="22" xr:uid="{E8D7DB86-831F-4AB8-AC0A-AF414BBF95F1}"/>
    <cellStyle name="Normal_Plan1" xfId="24" xr:uid="{BA1C08A9-C422-4808-AAA9-A3F09370AFE1}"/>
    <cellStyle name="Porcentagem" xfId="25" builtinId="5"/>
    <cellStyle name="Porcentagem 2" xfId="18" xr:uid="{385AEF79-480D-4228-83B0-90359309891A}"/>
    <cellStyle name="Vírgula 2" xfId="15" xr:uid="{5CE28356-E5BD-4314-BC44-6BCCEE0464DD}"/>
    <cellStyle name="Vírgula 2 2" xfId="17" xr:uid="{42A1A5FA-B2FC-4922-8FEA-5A1A9DBF0247}"/>
    <cellStyle name="Vírgula 4" xfId="16" xr:uid="{125B2AA0-BB6B-40EF-8390-AD17A4CA67F8}"/>
  </cellStyles>
  <dxfs count="4"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Menu!E6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2</xdr:col>
      <xdr:colOff>1180468</xdr:colOff>
      <xdr:row>2</xdr:row>
      <xdr:rowOff>131781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FA9ED5-954D-4D47-B999-7215CAD9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2132968" cy="474681"/>
        </a:xfrm>
        <a:prstGeom prst="rect">
          <a:avLst/>
        </a:prstGeom>
      </xdr:spPr>
    </xdr:pic>
    <xdr:clientData/>
  </xdr:twoCellAnchor>
  <xdr:twoCellAnchor editAs="oneCell">
    <xdr:from>
      <xdr:col>9</xdr:col>
      <xdr:colOff>777241</xdr:colOff>
      <xdr:row>0</xdr:row>
      <xdr:rowOff>15240</xdr:rowOff>
    </xdr:from>
    <xdr:to>
      <xdr:col>9</xdr:col>
      <xdr:colOff>1524001</xdr:colOff>
      <xdr:row>2</xdr:row>
      <xdr:rowOff>177596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A0907A-E65D-4349-930B-8D45174C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1121" y="15240"/>
          <a:ext cx="746760" cy="543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F38A7F-39B7-4C6A-8C70-7F56B382EA6A}"/>
            </a:ext>
          </a:extLst>
        </xdr:cNvPr>
        <xdr:cNvSpPr>
          <a:spLocks noChangeShapeType="1"/>
        </xdr:cNvSpPr>
      </xdr:nvSpPr>
      <xdr:spPr bwMode="auto">
        <a:xfrm>
          <a:off x="9707880" y="1813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7D01B4-80DC-4125-B8CC-7A75E20D6743}"/>
            </a:ext>
          </a:extLst>
        </xdr:cNvPr>
        <xdr:cNvSpPr>
          <a:spLocks noChangeShapeType="1"/>
        </xdr:cNvSpPr>
      </xdr:nvSpPr>
      <xdr:spPr bwMode="auto">
        <a:xfrm>
          <a:off x="9707880" y="1813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D47818-7DBF-44C7-9FFB-9FD38F3EAE8B}"/>
            </a:ext>
          </a:extLst>
        </xdr:cNvPr>
        <xdr:cNvSpPr>
          <a:spLocks noChangeShapeType="1"/>
        </xdr:cNvSpPr>
      </xdr:nvSpPr>
      <xdr:spPr bwMode="auto">
        <a:xfrm flipV="1">
          <a:off x="9707880" y="1813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0</xdr:row>
      <xdr:rowOff>47625</xdr:rowOff>
    </xdr:from>
    <xdr:to>
      <xdr:col>2</xdr:col>
      <xdr:colOff>1076325</xdr:colOff>
      <xdr:row>2</xdr:row>
      <xdr:rowOff>89084</xdr:rowOff>
    </xdr:to>
    <xdr:pic>
      <xdr:nvPicPr>
        <xdr:cNvPr id="5" name="Figura 42">
          <a:extLst>
            <a:ext uri="{FF2B5EF4-FFF2-40B4-BE49-F238E27FC236}">
              <a16:creationId xmlns:a16="http://schemas.microsoft.com/office/drawing/2014/main" id="{D7164F3D-B7F6-4940-AB61-477D93A8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461135" cy="5765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204458</xdr:colOff>
      <xdr:row>0</xdr:row>
      <xdr:rowOff>50800</xdr:rowOff>
    </xdr:from>
    <xdr:to>
      <xdr:col>29</xdr:col>
      <xdr:colOff>787399</xdr:colOff>
      <xdr:row>4</xdr:row>
      <xdr:rowOff>169333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7989B3C-02F4-4993-A382-2216F692B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2858" y="50800"/>
          <a:ext cx="1378808" cy="1185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2" name="Logo1">
          <a:extLst>
            <a:ext uri="{FF2B5EF4-FFF2-40B4-BE49-F238E27FC236}">
              <a16:creationId xmlns:a16="http://schemas.microsoft.com/office/drawing/2014/main" id="{53E64581-5C3E-4AC6-89F0-291D7DE5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DEA48D-26C0-4B18-B186-7597CEAFB26D}"/>
            </a:ext>
          </a:extLst>
        </xdr:cNvPr>
        <xdr:cNvSpPr>
          <a:spLocks noChangeArrowheads="1"/>
        </xdr:cNvSpPr>
      </xdr:nvSpPr>
      <xdr:spPr bwMode="auto">
        <a:xfrm>
          <a:off x="287020" y="229023"/>
          <a:ext cx="583354" cy="312932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4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6A5818-CA4C-447F-9301-07E9A5D19CE1}"/>
            </a:ext>
          </a:extLst>
        </xdr:cNvPr>
        <xdr:cNvSpPr>
          <a:spLocks noChangeArrowheads="1"/>
        </xdr:cNvSpPr>
      </xdr:nvSpPr>
      <xdr:spPr bwMode="auto">
        <a:xfrm>
          <a:off x="287019" y="590550"/>
          <a:ext cx="583354" cy="31284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multipla-v-3.06/PM%203.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v3.0.6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FGTS</v>
          </cell>
          <cell r="J4" t="str">
            <v>Equipamentos comunitários</v>
          </cell>
        </row>
        <row r="5">
          <cell r="F5" t="str">
            <v>Prefeitura De São João Das Missões - MG</v>
          </cell>
          <cell r="J5" t="str">
            <v>Pavimentação</v>
          </cell>
        </row>
        <row r="6">
          <cell r="F6" t="str">
            <v>São João Das Missões - MG</v>
          </cell>
          <cell r="J6" t="str">
            <v xml:space="preserve">Drenagem </v>
          </cell>
        </row>
        <row r="7">
          <cell r="F7" t="str">
            <v>1094382-79</v>
          </cell>
          <cell r="J7" t="str">
            <v>Abastecimento de água</v>
          </cell>
        </row>
        <row r="8">
          <cell r="F8" t="str">
            <v>960684/2024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Creche Tipo 2 - opção 220V</v>
          </cell>
          <cell r="J16" t="str">
            <v>Instrumentos e ações em planejamento e gestão pública</v>
          </cell>
        </row>
        <row r="17">
          <cell r="F17" t="str">
            <v xml:space="preserve">Construção de uma Creche Tipo 2 - opção 220V </v>
          </cell>
          <cell r="J17" t="str">
            <v>Ações complementares às obras</v>
          </cell>
        </row>
        <row r="18">
          <cell r="F18" t="str">
            <v>NÃO 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Gerrard Tayon Ferreira Lopo</v>
          </cell>
        </row>
        <row r="23">
          <cell r="F23" t="str">
            <v>289963 MG</v>
          </cell>
        </row>
        <row r="25">
          <cell r="F25">
            <v>45646</v>
          </cell>
        </row>
        <row r="31">
          <cell r="F31" t="str">
            <v>TransfereGOV</v>
          </cell>
        </row>
        <row r="51">
          <cell r="F51" t="str">
            <v>Gerrad Tayon Ferreira Lopo</v>
          </cell>
        </row>
        <row r="52">
          <cell r="F52" t="str">
            <v xml:space="preserve">Engenheiro Civil </v>
          </cell>
        </row>
        <row r="53">
          <cell r="F53" t="str">
            <v>289963 MG</v>
          </cell>
        </row>
      </sheetData>
      <sheetData sheetId="2" refreshError="1"/>
      <sheetData sheetId="3" refreshError="1"/>
      <sheetData sheetId="4">
        <row r="8">
          <cell r="F8" t="str">
            <v>'[Referência 03-2024.xlsm]Banco'!$a5:$a$65536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9AF2-AAF0-453E-A5BD-39753835A63F}">
  <sheetPr>
    <pageSetUpPr fitToPage="1"/>
  </sheetPr>
  <dimension ref="A1:L560"/>
  <sheetViews>
    <sheetView showGridLines="0" tabSelected="1" zoomScaleNormal="100" workbookViewId="0">
      <selection activeCell="C7" sqref="C7"/>
    </sheetView>
  </sheetViews>
  <sheetFormatPr defaultRowHeight="13.8"/>
  <cols>
    <col min="1" max="1" width="7.3984375" customWidth="1"/>
    <col min="2" max="2" width="8.3984375" customWidth="1"/>
    <col min="3" max="3" width="72.59765625" customWidth="1"/>
    <col min="4" max="4" width="7.3984375" customWidth="1"/>
    <col min="5" max="5" width="6.59765625" customWidth="1"/>
    <col min="6" max="6" width="12.59765625" customWidth="1"/>
    <col min="7" max="8" width="10.8984375" customWidth="1"/>
    <col min="9" max="10" width="20.59765625" customWidth="1"/>
  </cols>
  <sheetData>
    <row r="1" spans="1:10" ht="15" customHeight="1">
      <c r="A1" s="146" t="s">
        <v>1706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15" customHeight="1">
      <c r="A2" s="149"/>
      <c r="B2" s="150"/>
      <c r="C2" s="150"/>
      <c r="D2" s="150"/>
      <c r="E2" s="150"/>
      <c r="F2" s="150"/>
      <c r="G2" s="150"/>
      <c r="H2" s="150"/>
      <c r="I2" s="150"/>
      <c r="J2" s="151"/>
    </row>
    <row r="3" spans="1:10" ht="15" customHeight="1" thickBot="1">
      <c r="A3" s="152"/>
      <c r="B3" s="153"/>
      <c r="C3" s="153"/>
      <c r="D3" s="153"/>
      <c r="E3" s="153"/>
      <c r="F3" s="153"/>
      <c r="G3" s="153"/>
      <c r="H3" s="153"/>
      <c r="I3" s="153"/>
      <c r="J3" s="154"/>
    </row>
    <row r="4" spans="1:10" ht="15" customHeight="1">
      <c r="A4" s="1"/>
      <c r="B4" s="2"/>
      <c r="C4" s="2"/>
      <c r="D4" s="3"/>
      <c r="E4" s="3"/>
      <c r="F4" s="4"/>
      <c r="G4" s="4"/>
      <c r="H4" s="4"/>
      <c r="I4" s="3"/>
      <c r="J4" s="5"/>
    </row>
    <row r="5" spans="1:10" ht="15" customHeight="1">
      <c r="A5" s="6" t="s">
        <v>1593</v>
      </c>
      <c r="B5" s="7"/>
      <c r="C5" s="7"/>
      <c r="D5" s="8"/>
      <c r="E5" s="9"/>
      <c r="F5" s="10"/>
      <c r="G5" s="11" t="s">
        <v>1587</v>
      </c>
      <c r="H5" s="11"/>
      <c r="I5" s="110">
        <f ca="1">BDI!S29</f>
        <v>0.25</v>
      </c>
      <c r="J5" s="111"/>
    </row>
    <row r="6" spans="1:10" ht="15" customHeight="1" thickBot="1">
      <c r="A6" s="6" t="s">
        <v>1595</v>
      </c>
      <c r="B6" s="7"/>
      <c r="C6" s="7"/>
      <c r="D6" s="8"/>
      <c r="E6" s="9"/>
      <c r="F6" s="10"/>
      <c r="G6" s="11"/>
      <c r="H6" s="11"/>
      <c r="I6" s="115"/>
      <c r="J6" s="12"/>
    </row>
    <row r="7" spans="1:10" ht="15" customHeight="1" thickBot="1">
      <c r="A7" s="6" t="s">
        <v>1594</v>
      </c>
      <c r="B7" s="7"/>
      <c r="C7" s="7"/>
      <c r="D7" s="8"/>
      <c r="E7" s="9"/>
      <c r="F7" s="155" t="s">
        <v>1588</v>
      </c>
      <c r="G7" s="156"/>
      <c r="H7" s="156"/>
      <c r="I7" s="157"/>
      <c r="J7" s="112"/>
    </row>
    <row r="8" spans="1:10" ht="15" customHeight="1">
      <c r="A8" s="6"/>
      <c r="B8" s="7"/>
      <c r="C8" s="7"/>
      <c r="D8" s="8"/>
      <c r="E8" s="13"/>
      <c r="F8" s="14" t="s">
        <v>12</v>
      </c>
      <c r="G8" s="15" t="s">
        <v>1589</v>
      </c>
      <c r="H8" s="15"/>
      <c r="I8" s="16" t="s">
        <v>1590</v>
      </c>
      <c r="J8" s="113"/>
    </row>
    <row r="9" spans="1:10" ht="15" customHeight="1">
      <c r="A9" s="6"/>
      <c r="B9" s="17"/>
      <c r="C9" s="17"/>
      <c r="D9" s="17"/>
      <c r="E9" s="17"/>
      <c r="F9" s="18" t="s">
        <v>1591</v>
      </c>
      <c r="G9" s="19">
        <v>193</v>
      </c>
      <c r="H9" s="19"/>
      <c r="I9" s="20" t="s">
        <v>1590</v>
      </c>
      <c r="J9" s="113"/>
    </row>
    <row r="10" spans="1:10" ht="15" customHeight="1" thickBot="1">
      <c r="A10" s="6"/>
      <c r="B10" s="17"/>
      <c r="C10" s="17"/>
      <c r="D10" s="17"/>
      <c r="E10" s="17"/>
      <c r="F10" s="21" t="s">
        <v>22</v>
      </c>
      <c r="G10" s="22" t="s">
        <v>22</v>
      </c>
      <c r="H10" s="22"/>
      <c r="I10" s="23"/>
      <c r="J10" s="114"/>
    </row>
    <row r="11" spans="1:10" ht="15" customHeight="1" thickBot="1">
      <c r="A11" s="24"/>
      <c r="B11" s="25"/>
      <c r="C11" s="25"/>
      <c r="D11" s="26"/>
      <c r="E11" s="27"/>
      <c r="F11" s="28"/>
      <c r="G11" s="29"/>
      <c r="H11" s="29"/>
      <c r="I11" s="116"/>
      <c r="J11" s="30"/>
    </row>
    <row r="12" spans="1:10" ht="15" customHeight="1">
      <c r="A12" s="31"/>
      <c r="B12" s="31"/>
      <c r="C12" s="31"/>
      <c r="D12" s="32" t="s">
        <v>1592</v>
      </c>
      <c r="E12" s="31"/>
      <c r="F12" s="33"/>
      <c r="G12" s="34"/>
      <c r="H12" s="68"/>
      <c r="I12" s="118"/>
      <c r="J12" s="117"/>
    </row>
    <row r="13" spans="1:10" ht="6.9" customHeight="1">
      <c r="A13" s="35"/>
      <c r="B13" s="158" t="s">
        <v>0</v>
      </c>
      <c r="C13" s="158"/>
      <c r="D13" s="158"/>
      <c r="E13" s="158"/>
      <c r="F13" s="158"/>
      <c r="G13" s="158"/>
      <c r="H13" s="69"/>
      <c r="I13" s="35"/>
      <c r="J13" s="35"/>
    </row>
    <row r="14" spans="1:10" ht="21.9" customHeight="1">
      <c r="A14" s="120" t="s">
        <v>1</v>
      </c>
      <c r="B14" s="120" t="s">
        <v>2</v>
      </c>
      <c r="C14" s="120" t="s">
        <v>3</v>
      </c>
      <c r="D14" s="120" t="s">
        <v>4</v>
      </c>
      <c r="E14" s="120" t="s">
        <v>5</v>
      </c>
      <c r="F14" s="120" t="s">
        <v>6</v>
      </c>
      <c r="G14" s="120" t="s">
        <v>7</v>
      </c>
      <c r="H14" s="120" t="s">
        <v>1661</v>
      </c>
      <c r="I14" s="121" t="s">
        <v>8</v>
      </c>
      <c r="J14" s="121" t="s">
        <v>1701</v>
      </c>
    </row>
    <row r="15" spans="1:10" ht="20.100000000000001" customHeight="1">
      <c r="A15" s="122">
        <v>1</v>
      </c>
      <c r="B15" s="141" t="s">
        <v>9</v>
      </c>
      <c r="C15" s="141"/>
      <c r="D15" s="141"/>
      <c r="E15" s="141"/>
      <c r="F15" s="141"/>
      <c r="G15" s="141"/>
      <c r="H15" s="122"/>
      <c r="I15" s="123">
        <v>374629.14</v>
      </c>
      <c r="J15" s="124">
        <f ca="1">SUM(J16:J24)</f>
        <v>468288.9975</v>
      </c>
    </row>
    <row r="16" spans="1:10" ht="28.8" customHeight="1">
      <c r="A16" s="125" t="s">
        <v>10</v>
      </c>
      <c r="B16" s="126">
        <v>103689</v>
      </c>
      <c r="C16" s="127" t="s">
        <v>11</v>
      </c>
      <c r="D16" s="126" t="s">
        <v>12</v>
      </c>
      <c r="E16" s="126" t="s">
        <v>13</v>
      </c>
      <c r="F16" s="128">
        <v>10</v>
      </c>
      <c r="G16" s="129">
        <v>307</v>
      </c>
      <c r="H16" s="129">
        <f ca="1">(G16*I$5)+G16</f>
        <v>383.75</v>
      </c>
      <c r="I16" s="130" t="s">
        <v>1145</v>
      </c>
      <c r="J16" s="131">
        <v>3837.5</v>
      </c>
    </row>
    <row r="17" spans="1:12">
      <c r="A17" s="125" t="s">
        <v>14</v>
      </c>
      <c r="B17" s="126">
        <v>98459</v>
      </c>
      <c r="C17" s="127" t="s">
        <v>15</v>
      </c>
      <c r="D17" s="126" t="s">
        <v>12</v>
      </c>
      <c r="E17" s="126" t="s">
        <v>13</v>
      </c>
      <c r="F17" s="128">
        <v>99</v>
      </c>
      <c r="G17" s="129">
        <v>77.260000000000005</v>
      </c>
      <c r="H17" s="129">
        <f t="shared" ref="H17:H24" ca="1" si="0">(G17*I$5)+G17</f>
        <v>96.575000000000003</v>
      </c>
      <c r="I17" s="130" t="s">
        <v>1146</v>
      </c>
      <c r="J17" s="131">
        <v>9561.42</v>
      </c>
    </row>
    <row r="18" spans="1:12" ht="24.6" customHeight="1">
      <c r="A18" s="125" t="s">
        <v>16</v>
      </c>
      <c r="B18" s="126">
        <v>101509</v>
      </c>
      <c r="C18" s="127" t="s">
        <v>17</v>
      </c>
      <c r="D18" s="126" t="s">
        <v>12</v>
      </c>
      <c r="E18" s="126" t="s">
        <v>18</v>
      </c>
      <c r="F18" s="128">
        <v>1</v>
      </c>
      <c r="G18" s="129">
        <v>1807.57</v>
      </c>
      <c r="H18" s="129">
        <f t="shared" ca="1" si="0"/>
        <v>2259.4625000000001</v>
      </c>
      <c r="I18" s="130" t="s">
        <v>1147</v>
      </c>
      <c r="J18" s="131">
        <f t="shared" ref="J18:J19" ca="1" si="1">H18*F18</f>
        <v>2259.4625000000001</v>
      </c>
      <c r="L18" s="119">
        <f ca="1">J15/J24</f>
        <v>1.1484014736669255</v>
      </c>
    </row>
    <row r="19" spans="1:12" ht="17.399999999999999" customHeight="1">
      <c r="A19" s="125" t="s">
        <v>19</v>
      </c>
      <c r="B19" s="126" t="s">
        <v>20</v>
      </c>
      <c r="C19" s="127" t="s">
        <v>21</v>
      </c>
      <c r="D19" s="126" t="s">
        <v>22</v>
      </c>
      <c r="E19" s="126" t="s">
        <v>18</v>
      </c>
      <c r="F19" s="128">
        <v>1</v>
      </c>
      <c r="G19" s="129">
        <v>2879.9</v>
      </c>
      <c r="H19" s="129">
        <f t="shared" ca="1" si="0"/>
        <v>3599.875</v>
      </c>
      <c r="I19" s="130" t="s">
        <v>1148</v>
      </c>
      <c r="J19" s="131">
        <f t="shared" ca="1" si="1"/>
        <v>3599.875</v>
      </c>
      <c r="L19" s="119"/>
    </row>
    <row r="20" spans="1:12" ht="27" customHeight="1">
      <c r="A20" s="125" t="s">
        <v>23</v>
      </c>
      <c r="B20" s="126">
        <v>99059</v>
      </c>
      <c r="C20" s="127" t="s">
        <v>24</v>
      </c>
      <c r="D20" s="126" t="s">
        <v>12</v>
      </c>
      <c r="E20" s="126" t="s">
        <v>25</v>
      </c>
      <c r="F20" s="128">
        <v>127.78</v>
      </c>
      <c r="G20" s="129">
        <v>69.459999999999994</v>
      </c>
      <c r="H20" s="129">
        <f t="shared" ca="1" si="0"/>
        <v>86.824999999999989</v>
      </c>
      <c r="I20" s="130" t="s">
        <v>1149</v>
      </c>
      <c r="J20" s="131">
        <v>11095.14</v>
      </c>
    </row>
    <row r="21" spans="1:12" ht="27" customHeight="1">
      <c r="A21" s="125" t="s">
        <v>26</v>
      </c>
      <c r="B21" s="126" t="s">
        <v>27</v>
      </c>
      <c r="C21" s="127" t="s">
        <v>28</v>
      </c>
      <c r="D21" s="126" t="s">
        <v>22</v>
      </c>
      <c r="E21" s="126" t="s">
        <v>29</v>
      </c>
      <c r="F21" s="128">
        <v>8</v>
      </c>
      <c r="G21" s="129">
        <v>995</v>
      </c>
      <c r="H21" s="129">
        <f t="shared" ca="1" si="0"/>
        <v>1243.75</v>
      </c>
      <c r="I21" s="130" t="s">
        <v>1150</v>
      </c>
      <c r="J21" s="131">
        <v>9950</v>
      </c>
    </row>
    <row r="22" spans="1:12" ht="25.2" customHeight="1">
      <c r="A22" s="125" t="s">
        <v>30</v>
      </c>
      <c r="B22" s="126" t="s">
        <v>31</v>
      </c>
      <c r="C22" s="127" t="s">
        <v>32</v>
      </c>
      <c r="D22" s="126" t="s">
        <v>22</v>
      </c>
      <c r="E22" s="126" t="s">
        <v>29</v>
      </c>
      <c r="F22" s="128">
        <v>8</v>
      </c>
      <c r="G22" s="129">
        <v>777.34</v>
      </c>
      <c r="H22" s="129">
        <f t="shared" ca="1" si="0"/>
        <v>971.67500000000007</v>
      </c>
      <c r="I22" s="130" t="s">
        <v>1151</v>
      </c>
      <c r="J22" s="131">
        <v>7773.44</v>
      </c>
    </row>
    <row r="23" spans="1:12" ht="25.2" customHeight="1">
      <c r="A23" s="125" t="s">
        <v>33</v>
      </c>
      <c r="B23" s="126" t="s">
        <v>34</v>
      </c>
      <c r="C23" s="127" t="s">
        <v>35</v>
      </c>
      <c r="D23" s="126" t="s">
        <v>22</v>
      </c>
      <c r="E23" s="126" t="s">
        <v>29</v>
      </c>
      <c r="F23" s="128">
        <v>8</v>
      </c>
      <c r="G23" s="129">
        <v>1243.75</v>
      </c>
      <c r="H23" s="129">
        <f t="shared" ca="1" si="0"/>
        <v>1554.6875</v>
      </c>
      <c r="I23" s="130" t="s">
        <v>1152</v>
      </c>
      <c r="J23" s="131">
        <v>12437.52</v>
      </c>
    </row>
    <row r="24" spans="1:12">
      <c r="A24" s="125" t="s">
        <v>36</v>
      </c>
      <c r="B24" s="126" t="s">
        <v>37</v>
      </c>
      <c r="C24" s="127" t="s">
        <v>38</v>
      </c>
      <c r="D24" s="126" t="s">
        <v>22</v>
      </c>
      <c r="E24" s="126" t="s">
        <v>18</v>
      </c>
      <c r="F24" s="128">
        <v>1</v>
      </c>
      <c r="G24" s="129">
        <v>326219.71999999997</v>
      </c>
      <c r="H24" s="129">
        <f t="shared" ca="1" si="0"/>
        <v>407774.64999999997</v>
      </c>
      <c r="I24" s="130" t="s">
        <v>1153</v>
      </c>
      <c r="J24" s="131">
        <v>407774.64</v>
      </c>
    </row>
    <row r="25" spans="1:12" ht="20.100000000000001" customHeight="1">
      <c r="A25" s="122">
        <v>2</v>
      </c>
      <c r="B25" s="141" t="s">
        <v>39</v>
      </c>
      <c r="C25" s="141"/>
      <c r="D25" s="141"/>
      <c r="E25" s="141"/>
      <c r="F25" s="141"/>
      <c r="G25" s="141"/>
      <c r="H25" s="122"/>
      <c r="I25" s="123">
        <v>38948.69</v>
      </c>
      <c r="J25" s="124">
        <f ca="1">SUM(J26,J32,J36)</f>
        <v>48696.701375000004</v>
      </c>
    </row>
    <row r="26" spans="1:12" ht="20.100000000000001" customHeight="1">
      <c r="A26" s="122" t="s">
        <v>40</v>
      </c>
      <c r="B26" s="141" t="s">
        <v>41</v>
      </c>
      <c r="C26" s="141"/>
      <c r="D26" s="141"/>
      <c r="E26" s="141"/>
      <c r="F26" s="141"/>
      <c r="G26" s="141"/>
      <c r="H26" s="122"/>
      <c r="I26" s="123">
        <v>37020.04</v>
      </c>
      <c r="J26" s="124">
        <f>SUM(J27:J31)</f>
        <v>46285.06</v>
      </c>
    </row>
    <row r="27" spans="1:12" ht="26.4" customHeight="1">
      <c r="A27" s="125" t="s">
        <v>42</v>
      </c>
      <c r="B27" s="126">
        <v>98525</v>
      </c>
      <c r="C27" s="127" t="s">
        <v>43</v>
      </c>
      <c r="D27" s="126" t="s">
        <v>12</v>
      </c>
      <c r="E27" s="126" t="s">
        <v>13</v>
      </c>
      <c r="F27" s="128">
        <v>1575</v>
      </c>
      <c r="G27" s="129">
        <v>0.64</v>
      </c>
      <c r="H27" s="129">
        <f t="shared" ref="H27:H39" ca="1" si="2">(G27*I$5)+G27</f>
        <v>0.8</v>
      </c>
      <c r="I27" s="130" t="s">
        <v>1154</v>
      </c>
      <c r="J27" s="131">
        <v>1260</v>
      </c>
    </row>
    <row r="28" spans="1:12" ht="38.4" customHeight="1">
      <c r="A28" s="125" t="s">
        <v>44</v>
      </c>
      <c r="B28" s="126">
        <v>94306</v>
      </c>
      <c r="C28" s="127" t="s">
        <v>45</v>
      </c>
      <c r="D28" s="126" t="s">
        <v>12</v>
      </c>
      <c r="E28" s="126" t="s">
        <v>46</v>
      </c>
      <c r="F28" s="128">
        <v>158.44</v>
      </c>
      <c r="G28" s="129">
        <v>68.09</v>
      </c>
      <c r="H28" s="129">
        <f t="shared" ca="1" si="2"/>
        <v>85.112500000000011</v>
      </c>
      <c r="I28" s="130" t="s">
        <v>1155</v>
      </c>
      <c r="J28" s="131">
        <v>13484.83</v>
      </c>
    </row>
    <row r="29" spans="1:12" ht="25.8" customHeight="1">
      <c r="A29" s="125" t="s">
        <v>47</v>
      </c>
      <c r="B29" s="126">
        <v>96523</v>
      </c>
      <c r="C29" s="127" t="s">
        <v>48</v>
      </c>
      <c r="D29" s="126" t="s">
        <v>12</v>
      </c>
      <c r="E29" s="126" t="s">
        <v>46</v>
      </c>
      <c r="F29" s="128">
        <v>250.58</v>
      </c>
      <c r="G29" s="129">
        <v>88.5</v>
      </c>
      <c r="H29" s="129">
        <f t="shared" ca="1" si="2"/>
        <v>110.625</v>
      </c>
      <c r="I29" s="130" t="s">
        <v>1156</v>
      </c>
      <c r="J29" s="131">
        <v>27721.67</v>
      </c>
    </row>
    <row r="30" spans="1:12" ht="31.8" customHeight="1">
      <c r="A30" s="125" t="s">
        <v>49</v>
      </c>
      <c r="B30" s="126">
        <v>101617</v>
      </c>
      <c r="C30" s="127" t="s">
        <v>50</v>
      </c>
      <c r="D30" s="126" t="s">
        <v>12</v>
      </c>
      <c r="E30" s="126" t="s">
        <v>13</v>
      </c>
      <c r="F30" s="128">
        <v>107.09</v>
      </c>
      <c r="G30" s="129">
        <v>2.99</v>
      </c>
      <c r="H30" s="129">
        <f t="shared" ca="1" si="2"/>
        <v>3.7375000000000003</v>
      </c>
      <c r="I30" s="130" t="s">
        <v>1157</v>
      </c>
      <c r="J30" s="131">
        <v>400.52</v>
      </c>
    </row>
    <row r="31" spans="1:12" ht="39.6" customHeight="1">
      <c r="A31" s="125" t="s">
        <v>51</v>
      </c>
      <c r="B31" s="126">
        <v>93381</v>
      </c>
      <c r="C31" s="127" t="s">
        <v>52</v>
      </c>
      <c r="D31" s="126" t="s">
        <v>12</v>
      </c>
      <c r="E31" s="126" t="s">
        <v>46</v>
      </c>
      <c r="F31" s="128">
        <v>210.86</v>
      </c>
      <c r="G31" s="129">
        <v>12.97</v>
      </c>
      <c r="H31" s="129">
        <f t="shared" ca="1" si="2"/>
        <v>16.212500000000002</v>
      </c>
      <c r="I31" s="130" t="s">
        <v>1158</v>
      </c>
      <c r="J31" s="131">
        <v>3418.04</v>
      </c>
    </row>
    <row r="32" spans="1:12" ht="20.100000000000001" customHeight="1">
      <c r="A32" s="122" t="s">
        <v>53</v>
      </c>
      <c r="B32" s="141" t="s">
        <v>54</v>
      </c>
      <c r="C32" s="141"/>
      <c r="D32" s="141"/>
      <c r="E32" s="141"/>
      <c r="F32" s="141"/>
      <c r="G32" s="141"/>
      <c r="H32" s="122"/>
      <c r="I32" s="123">
        <v>1575.31</v>
      </c>
      <c r="J32" s="124">
        <f>SUM(J33:J35)</f>
        <v>1969.8000000000002</v>
      </c>
    </row>
    <row r="33" spans="1:10" ht="32.4" customHeight="1">
      <c r="A33" s="125" t="s">
        <v>55</v>
      </c>
      <c r="B33" s="126">
        <v>96523</v>
      </c>
      <c r="C33" s="127" t="s">
        <v>48</v>
      </c>
      <c r="D33" s="126" t="s">
        <v>12</v>
      </c>
      <c r="E33" s="126" t="s">
        <v>46</v>
      </c>
      <c r="F33" s="128">
        <v>15.68</v>
      </c>
      <c r="G33" s="129">
        <v>88.5</v>
      </c>
      <c r="H33" s="129">
        <f t="shared" ca="1" si="2"/>
        <v>110.625</v>
      </c>
      <c r="I33" s="130" t="s">
        <v>1159</v>
      </c>
      <c r="J33" s="131">
        <v>1734.68</v>
      </c>
    </row>
    <row r="34" spans="1:10" ht="30" customHeight="1">
      <c r="A34" s="125" t="s">
        <v>56</v>
      </c>
      <c r="B34" s="126">
        <v>101617</v>
      </c>
      <c r="C34" s="127" t="s">
        <v>50</v>
      </c>
      <c r="D34" s="126" t="s">
        <v>12</v>
      </c>
      <c r="E34" s="126" t="s">
        <v>13</v>
      </c>
      <c r="F34" s="128">
        <v>13.37</v>
      </c>
      <c r="G34" s="129">
        <v>2.99</v>
      </c>
      <c r="H34" s="129">
        <f t="shared" ca="1" si="2"/>
        <v>3.7375000000000003</v>
      </c>
      <c r="I34" s="130" t="s">
        <v>1160</v>
      </c>
      <c r="J34" s="131">
        <v>50</v>
      </c>
    </row>
    <row r="35" spans="1:10" ht="47.4" customHeight="1">
      <c r="A35" s="125" t="s">
        <v>57</v>
      </c>
      <c r="B35" s="126">
        <v>93381</v>
      </c>
      <c r="C35" s="127" t="s">
        <v>52</v>
      </c>
      <c r="D35" s="126" t="s">
        <v>12</v>
      </c>
      <c r="E35" s="126" t="s">
        <v>46</v>
      </c>
      <c r="F35" s="128">
        <v>11.42</v>
      </c>
      <c r="G35" s="129">
        <v>12.97</v>
      </c>
      <c r="H35" s="129">
        <f t="shared" ca="1" si="2"/>
        <v>16.212500000000002</v>
      </c>
      <c r="I35" s="130" t="s">
        <v>1161</v>
      </c>
      <c r="J35" s="131">
        <v>185.12</v>
      </c>
    </row>
    <row r="36" spans="1:10" ht="20.100000000000001" customHeight="1">
      <c r="A36" s="122" t="s">
        <v>58</v>
      </c>
      <c r="B36" s="141" t="s">
        <v>59</v>
      </c>
      <c r="C36" s="141"/>
      <c r="D36" s="141"/>
      <c r="E36" s="141"/>
      <c r="F36" s="141"/>
      <c r="G36" s="141"/>
      <c r="H36" s="122"/>
      <c r="I36" s="123">
        <v>353.34</v>
      </c>
      <c r="J36" s="124">
        <f ca="1">SUM(J37:J39)</f>
        <v>441.84137500000003</v>
      </c>
    </row>
    <row r="37" spans="1:10" ht="27" customHeight="1">
      <c r="A37" s="125" t="s">
        <v>60</v>
      </c>
      <c r="B37" s="126">
        <v>96523</v>
      </c>
      <c r="C37" s="127" t="s">
        <v>48</v>
      </c>
      <c r="D37" s="126" t="s">
        <v>12</v>
      </c>
      <c r="E37" s="126" t="s">
        <v>46</v>
      </c>
      <c r="F37" s="128">
        <v>3.65</v>
      </c>
      <c r="G37" s="129">
        <v>88.5</v>
      </c>
      <c r="H37" s="129">
        <f t="shared" ca="1" si="2"/>
        <v>110.625</v>
      </c>
      <c r="I37" s="130" t="s">
        <v>1162</v>
      </c>
      <c r="J37" s="131">
        <v>403.8</v>
      </c>
    </row>
    <row r="38" spans="1:10" ht="27.6" customHeight="1">
      <c r="A38" s="125" t="s">
        <v>61</v>
      </c>
      <c r="B38" s="126">
        <v>101617</v>
      </c>
      <c r="C38" s="127" t="s">
        <v>50</v>
      </c>
      <c r="D38" s="126" t="s">
        <v>12</v>
      </c>
      <c r="E38" s="126" t="s">
        <v>13</v>
      </c>
      <c r="F38" s="128">
        <v>4.84</v>
      </c>
      <c r="G38" s="129">
        <v>2.99</v>
      </c>
      <c r="H38" s="129">
        <f t="shared" ca="1" si="2"/>
        <v>3.7375000000000003</v>
      </c>
      <c r="I38" s="130" t="s">
        <v>1163</v>
      </c>
      <c r="J38" s="131">
        <v>18.100000000000001</v>
      </c>
    </row>
    <row r="39" spans="1:10" ht="41.4" customHeight="1">
      <c r="A39" s="125" t="s">
        <v>62</v>
      </c>
      <c r="B39" s="126">
        <v>93381</v>
      </c>
      <c r="C39" s="127" t="s">
        <v>52</v>
      </c>
      <c r="D39" s="126" t="s">
        <v>12</v>
      </c>
      <c r="E39" s="126" t="s">
        <v>46</v>
      </c>
      <c r="F39" s="128">
        <v>1.23</v>
      </c>
      <c r="G39" s="129">
        <v>12.97</v>
      </c>
      <c r="H39" s="129">
        <f t="shared" ca="1" si="2"/>
        <v>16.212500000000002</v>
      </c>
      <c r="I39" s="130" t="s">
        <v>1164</v>
      </c>
      <c r="J39" s="131">
        <f t="shared" ref="J39" ca="1" si="3">H39*F39</f>
        <v>19.941375000000001</v>
      </c>
    </row>
    <row r="40" spans="1:10" ht="20.100000000000001" customHeight="1">
      <c r="A40" s="122">
        <v>3</v>
      </c>
      <c r="B40" s="141" t="s">
        <v>63</v>
      </c>
      <c r="C40" s="141"/>
      <c r="D40" s="141"/>
      <c r="E40" s="141"/>
      <c r="F40" s="141"/>
      <c r="G40" s="141"/>
      <c r="H40" s="122"/>
      <c r="I40" s="123">
        <v>125694.63</v>
      </c>
      <c r="J40" s="124">
        <f ca="1">SUM(J50,J41,J59,J69,J75)</f>
        <v>157129.61000000004</v>
      </c>
    </row>
    <row r="41" spans="1:10" ht="20.100000000000001" customHeight="1">
      <c r="A41" s="122" t="s">
        <v>64</v>
      </c>
      <c r="B41" s="141" t="s">
        <v>65</v>
      </c>
      <c r="C41" s="141"/>
      <c r="D41" s="141"/>
      <c r="E41" s="141"/>
      <c r="F41" s="141"/>
      <c r="G41" s="141"/>
      <c r="H41" s="122"/>
      <c r="I41" s="123">
        <v>38562.480000000003</v>
      </c>
      <c r="J41" s="124">
        <f>SUM(J42:J49)</f>
        <v>48205.16</v>
      </c>
    </row>
    <row r="42" spans="1:10" ht="28.8" customHeight="1">
      <c r="A42" s="125" t="s">
        <v>66</v>
      </c>
      <c r="B42" s="126">
        <v>96619</v>
      </c>
      <c r="C42" s="127" t="s">
        <v>67</v>
      </c>
      <c r="D42" s="126" t="s">
        <v>12</v>
      </c>
      <c r="E42" s="126" t="s">
        <v>13</v>
      </c>
      <c r="F42" s="128">
        <v>46.65</v>
      </c>
      <c r="G42" s="129">
        <v>39.75</v>
      </c>
      <c r="H42" s="129">
        <f t="shared" ref="H42:H79" ca="1" si="4">(G42*I$5)+G42</f>
        <v>49.6875</v>
      </c>
      <c r="I42" s="130" t="s">
        <v>1165</v>
      </c>
      <c r="J42" s="131">
        <v>2318.04</v>
      </c>
    </row>
    <row r="43" spans="1:10" ht="30.6" customHeight="1">
      <c r="A43" s="125" t="s">
        <v>68</v>
      </c>
      <c r="B43" s="126">
        <v>96534</v>
      </c>
      <c r="C43" s="127" t="s">
        <v>69</v>
      </c>
      <c r="D43" s="126" t="s">
        <v>12</v>
      </c>
      <c r="E43" s="126" t="s">
        <v>13</v>
      </c>
      <c r="F43" s="128">
        <v>131.71</v>
      </c>
      <c r="G43" s="129">
        <v>74.98</v>
      </c>
      <c r="H43" s="129">
        <f t="shared" ca="1" si="4"/>
        <v>93.725000000000009</v>
      </c>
      <c r="I43" s="130" t="s">
        <v>1166</v>
      </c>
      <c r="J43" s="131">
        <v>12345.18</v>
      </c>
    </row>
    <row r="44" spans="1:10" ht="29.4" customHeight="1">
      <c r="A44" s="125" t="s">
        <v>70</v>
      </c>
      <c r="B44" s="126">
        <v>104917</v>
      </c>
      <c r="C44" s="127" t="s">
        <v>71</v>
      </c>
      <c r="D44" s="126" t="s">
        <v>12</v>
      </c>
      <c r="E44" s="126" t="s">
        <v>72</v>
      </c>
      <c r="F44" s="128">
        <v>317.2</v>
      </c>
      <c r="G44" s="129">
        <v>14.32</v>
      </c>
      <c r="H44" s="129">
        <f t="shared" ca="1" si="4"/>
        <v>17.899999999999999</v>
      </c>
      <c r="I44" s="130" t="s">
        <v>1167</v>
      </c>
      <c r="J44" s="131">
        <v>5677.88</v>
      </c>
    </row>
    <row r="45" spans="1:10" ht="25.8" customHeight="1">
      <c r="A45" s="125" t="s">
        <v>73</v>
      </c>
      <c r="B45" s="126">
        <v>104918</v>
      </c>
      <c r="C45" s="127" t="s">
        <v>74</v>
      </c>
      <c r="D45" s="126" t="s">
        <v>12</v>
      </c>
      <c r="E45" s="126" t="s">
        <v>72</v>
      </c>
      <c r="F45" s="128">
        <v>41.25</v>
      </c>
      <c r="G45" s="129">
        <v>13.15</v>
      </c>
      <c r="H45" s="129">
        <f t="shared" ca="1" si="4"/>
        <v>16.4375</v>
      </c>
      <c r="I45" s="130" t="s">
        <v>1168</v>
      </c>
      <c r="J45" s="131">
        <v>678.15</v>
      </c>
    </row>
    <row r="46" spans="1:10" ht="31.8" customHeight="1">
      <c r="A46" s="125" t="s">
        <v>75</v>
      </c>
      <c r="B46" s="126">
        <v>104919</v>
      </c>
      <c r="C46" s="127" t="s">
        <v>76</v>
      </c>
      <c r="D46" s="126" t="s">
        <v>12</v>
      </c>
      <c r="E46" s="126" t="s">
        <v>72</v>
      </c>
      <c r="F46" s="128">
        <v>366.94</v>
      </c>
      <c r="G46" s="129">
        <v>11.69</v>
      </c>
      <c r="H46" s="129">
        <f t="shared" ca="1" si="4"/>
        <v>14.612499999999999</v>
      </c>
      <c r="I46" s="130" t="s">
        <v>1169</v>
      </c>
      <c r="J46" s="131">
        <v>5360.99</v>
      </c>
    </row>
    <row r="47" spans="1:10" ht="27.6" customHeight="1">
      <c r="A47" s="125" t="s">
        <v>77</v>
      </c>
      <c r="B47" s="126">
        <v>104920</v>
      </c>
      <c r="C47" s="127" t="s">
        <v>78</v>
      </c>
      <c r="D47" s="126" t="s">
        <v>12</v>
      </c>
      <c r="E47" s="126" t="s">
        <v>72</v>
      </c>
      <c r="F47" s="128">
        <v>225</v>
      </c>
      <c r="G47" s="129">
        <v>9.91</v>
      </c>
      <c r="H47" s="129">
        <f t="shared" ca="1" si="4"/>
        <v>12.387499999999999</v>
      </c>
      <c r="I47" s="130" t="s">
        <v>1170</v>
      </c>
      <c r="J47" s="131">
        <v>2787.75</v>
      </c>
    </row>
    <row r="48" spans="1:10" ht="29.4" customHeight="1">
      <c r="A48" s="125" t="s">
        <v>79</v>
      </c>
      <c r="B48" s="126">
        <v>92915</v>
      </c>
      <c r="C48" s="127" t="s">
        <v>80</v>
      </c>
      <c r="D48" s="126" t="s">
        <v>12</v>
      </c>
      <c r="E48" s="126" t="s">
        <v>72</v>
      </c>
      <c r="F48" s="128">
        <v>134.38</v>
      </c>
      <c r="G48" s="129">
        <v>15.69</v>
      </c>
      <c r="H48" s="129">
        <f t="shared" ca="1" si="4"/>
        <v>19.612500000000001</v>
      </c>
      <c r="I48" s="130" t="s">
        <v>1143</v>
      </c>
      <c r="J48" s="131">
        <v>2635.19</v>
      </c>
    </row>
    <row r="49" spans="1:10" ht="27.6" customHeight="1">
      <c r="A49" s="125" t="s">
        <v>81</v>
      </c>
      <c r="B49" s="126">
        <v>96558</v>
      </c>
      <c r="C49" s="127" t="s">
        <v>82</v>
      </c>
      <c r="D49" s="126" t="s">
        <v>12</v>
      </c>
      <c r="E49" s="126" t="s">
        <v>46</v>
      </c>
      <c r="F49" s="128">
        <v>15.55</v>
      </c>
      <c r="G49" s="129">
        <v>843.83</v>
      </c>
      <c r="H49" s="129">
        <f t="shared" ca="1" si="4"/>
        <v>1054.7875000000001</v>
      </c>
      <c r="I49" s="130" t="s">
        <v>1171</v>
      </c>
      <c r="J49" s="131">
        <v>16401.98</v>
      </c>
    </row>
    <row r="50" spans="1:10" ht="20.100000000000001" customHeight="1">
      <c r="A50" s="122" t="s">
        <v>83</v>
      </c>
      <c r="B50" s="141" t="s">
        <v>84</v>
      </c>
      <c r="C50" s="141"/>
      <c r="D50" s="141"/>
      <c r="E50" s="141"/>
      <c r="F50" s="141"/>
      <c r="G50" s="141"/>
      <c r="H50" s="122"/>
      <c r="I50" s="123">
        <v>68235.490000000005</v>
      </c>
      <c r="J50" s="124">
        <f>SUM(J51:J58)</f>
        <v>85303.3</v>
      </c>
    </row>
    <row r="51" spans="1:10" ht="28.8" customHeight="1">
      <c r="A51" s="125" t="s">
        <v>85</v>
      </c>
      <c r="B51" s="126">
        <v>96619</v>
      </c>
      <c r="C51" s="127" t="s">
        <v>67</v>
      </c>
      <c r="D51" s="126" t="s">
        <v>12</v>
      </c>
      <c r="E51" s="126" t="s">
        <v>13</v>
      </c>
      <c r="F51" s="128">
        <v>60.44</v>
      </c>
      <c r="G51" s="129">
        <v>39.75</v>
      </c>
      <c r="H51" s="129">
        <f t="shared" ca="1" si="4"/>
        <v>49.6875</v>
      </c>
      <c r="I51" s="130" t="s">
        <v>1172</v>
      </c>
      <c r="J51" s="131">
        <v>3003.26</v>
      </c>
    </row>
    <row r="52" spans="1:10" ht="31.2" customHeight="1">
      <c r="A52" s="125" t="s">
        <v>86</v>
      </c>
      <c r="B52" s="126">
        <v>96616</v>
      </c>
      <c r="C52" s="127" t="s">
        <v>87</v>
      </c>
      <c r="D52" s="126" t="s">
        <v>12</v>
      </c>
      <c r="E52" s="126" t="s">
        <v>46</v>
      </c>
      <c r="F52" s="128">
        <v>3.89</v>
      </c>
      <c r="G52" s="129">
        <v>795.4</v>
      </c>
      <c r="H52" s="129">
        <f t="shared" ca="1" si="4"/>
        <v>994.25</v>
      </c>
      <c r="I52" s="130" t="s">
        <v>1173</v>
      </c>
      <c r="J52" s="131">
        <v>3867.63</v>
      </c>
    </row>
    <row r="53" spans="1:10" ht="28.8" customHeight="1">
      <c r="A53" s="125" t="s">
        <v>88</v>
      </c>
      <c r="B53" s="126">
        <v>96534</v>
      </c>
      <c r="C53" s="127" t="s">
        <v>69</v>
      </c>
      <c r="D53" s="126" t="s">
        <v>12</v>
      </c>
      <c r="E53" s="126" t="s">
        <v>13</v>
      </c>
      <c r="F53" s="128">
        <v>349.55</v>
      </c>
      <c r="G53" s="129">
        <v>74.98</v>
      </c>
      <c r="H53" s="129">
        <f t="shared" ca="1" si="4"/>
        <v>93.725000000000009</v>
      </c>
      <c r="I53" s="130" t="s">
        <v>1174</v>
      </c>
      <c r="J53" s="131">
        <v>32763.32</v>
      </c>
    </row>
    <row r="54" spans="1:10" ht="27.6" customHeight="1">
      <c r="A54" s="125" t="s">
        <v>89</v>
      </c>
      <c r="B54" s="126">
        <v>104918</v>
      </c>
      <c r="C54" s="127" t="s">
        <v>74</v>
      </c>
      <c r="D54" s="126" t="s">
        <v>12</v>
      </c>
      <c r="E54" s="126" t="s">
        <v>72</v>
      </c>
      <c r="F54" s="128">
        <v>660.1</v>
      </c>
      <c r="G54" s="129">
        <v>13.15</v>
      </c>
      <c r="H54" s="129">
        <f t="shared" ca="1" si="4"/>
        <v>16.4375</v>
      </c>
      <c r="I54" s="130" t="s">
        <v>1175</v>
      </c>
      <c r="J54" s="131">
        <v>10852.04</v>
      </c>
    </row>
    <row r="55" spans="1:10" ht="28.8" customHeight="1">
      <c r="A55" s="125" t="s">
        <v>90</v>
      </c>
      <c r="B55" s="126">
        <v>104919</v>
      </c>
      <c r="C55" s="127" t="s">
        <v>76</v>
      </c>
      <c r="D55" s="126" t="s">
        <v>12</v>
      </c>
      <c r="E55" s="126" t="s">
        <v>72</v>
      </c>
      <c r="F55" s="128">
        <v>113.6</v>
      </c>
      <c r="G55" s="129">
        <v>11.69</v>
      </c>
      <c r="H55" s="129">
        <f t="shared" ca="1" si="4"/>
        <v>14.612499999999999</v>
      </c>
      <c r="I55" s="130" t="s">
        <v>1176</v>
      </c>
      <c r="J55" s="131">
        <v>1659.7</v>
      </c>
    </row>
    <row r="56" spans="1:10" ht="26.4" customHeight="1">
      <c r="A56" s="125" t="s">
        <v>91</v>
      </c>
      <c r="B56" s="126">
        <v>104920</v>
      </c>
      <c r="C56" s="127" t="s">
        <v>78</v>
      </c>
      <c r="D56" s="126" t="s">
        <v>12</v>
      </c>
      <c r="E56" s="126" t="s">
        <v>72</v>
      </c>
      <c r="F56" s="128">
        <v>26.41</v>
      </c>
      <c r="G56" s="129">
        <v>9.91</v>
      </c>
      <c r="H56" s="129">
        <f t="shared" ca="1" si="4"/>
        <v>12.387499999999999</v>
      </c>
      <c r="I56" s="130" t="s">
        <v>1177</v>
      </c>
      <c r="J56" s="131">
        <v>327.22000000000003</v>
      </c>
    </row>
    <row r="57" spans="1:10" ht="17.399999999999999" customHeight="1">
      <c r="A57" s="125" t="s">
        <v>92</v>
      </c>
      <c r="B57" s="126">
        <v>96543</v>
      </c>
      <c r="C57" s="127" t="s">
        <v>93</v>
      </c>
      <c r="D57" s="126" t="s">
        <v>12</v>
      </c>
      <c r="E57" s="126" t="s">
        <v>72</v>
      </c>
      <c r="F57" s="128">
        <v>356.91</v>
      </c>
      <c r="G57" s="129">
        <v>18.71</v>
      </c>
      <c r="H57" s="129">
        <f t="shared" ca="1" si="4"/>
        <v>23.387500000000003</v>
      </c>
      <c r="I57" s="130" t="s">
        <v>1178</v>
      </c>
      <c r="J57" s="131">
        <v>8348.1200000000008</v>
      </c>
    </row>
    <row r="58" spans="1:10" ht="26.4" customHeight="1">
      <c r="A58" s="125" t="s">
        <v>94</v>
      </c>
      <c r="B58" s="126">
        <v>96557</v>
      </c>
      <c r="C58" s="127" t="s">
        <v>95</v>
      </c>
      <c r="D58" s="126" t="s">
        <v>12</v>
      </c>
      <c r="E58" s="126" t="s">
        <v>46</v>
      </c>
      <c r="F58" s="128">
        <v>24.18</v>
      </c>
      <c r="G58" s="129">
        <v>809.99</v>
      </c>
      <c r="H58" s="129">
        <f t="shared" ca="1" si="4"/>
        <v>1012.4875</v>
      </c>
      <c r="I58" s="130" t="s">
        <v>1179</v>
      </c>
      <c r="J58" s="131">
        <v>24482.01</v>
      </c>
    </row>
    <row r="59" spans="1:10" ht="20.100000000000001" customHeight="1">
      <c r="A59" s="122" t="s">
        <v>96</v>
      </c>
      <c r="B59" s="141" t="s">
        <v>97</v>
      </c>
      <c r="C59" s="141"/>
      <c r="D59" s="141"/>
      <c r="E59" s="141"/>
      <c r="F59" s="141"/>
      <c r="G59" s="141"/>
      <c r="H59" s="122"/>
      <c r="I59" s="123">
        <v>7768.2</v>
      </c>
      <c r="J59" s="124">
        <f ca="1">SUM(J60:J68)</f>
        <v>9710.2900000000009</v>
      </c>
    </row>
    <row r="60" spans="1:10" ht="39" customHeight="1">
      <c r="A60" s="125" t="s">
        <v>98</v>
      </c>
      <c r="B60" s="126">
        <v>100896</v>
      </c>
      <c r="C60" s="127" t="s">
        <v>99</v>
      </c>
      <c r="D60" s="126" t="s">
        <v>12</v>
      </c>
      <c r="E60" s="126" t="s">
        <v>25</v>
      </c>
      <c r="F60" s="128">
        <v>35</v>
      </c>
      <c r="G60" s="129">
        <v>65.2</v>
      </c>
      <c r="H60" s="129">
        <f t="shared" ca="1" si="4"/>
        <v>81.5</v>
      </c>
      <c r="I60" s="130" t="s">
        <v>1180</v>
      </c>
      <c r="J60" s="131">
        <v>2852.5</v>
      </c>
    </row>
    <row r="61" spans="1:10" ht="27.6" customHeight="1">
      <c r="A61" s="125" t="s">
        <v>100</v>
      </c>
      <c r="B61" s="126">
        <v>95601</v>
      </c>
      <c r="C61" s="127" t="s">
        <v>101</v>
      </c>
      <c r="D61" s="126" t="s">
        <v>12</v>
      </c>
      <c r="E61" s="126" t="s">
        <v>18</v>
      </c>
      <c r="F61" s="128">
        <v>5</v>
      </c>
      <c r="G61" s="129">
        <v>16.78</v>
      </c>
      <c r="H61" s="129">
        <f t="shared" ca="1" si="4"/>
        <v>20.975000000000001</v>
      </c>
      <c r="I61" s="130" t="s">
        <v>1181</v>
      </c>
      <c r="J61" s="131">
        <v>104.9</v>
      </c>
    </row>
    <row r="62" spans="1:10" ht="22.8">
      <c r="A62" s="125" t="s">
        <v>102</v>
      </c>
      <c r="B62" s="126">
        <v>96619</v>
      </c>
      <c r="C62" s="127" t="s">
        <v>67</v>
      </c>
      <c r="D62" s="126" t="s">
        <v>12</v>
      </c>
      <c r="E62" s="126" t="s">
        <v>13</v>
      </c>
      <c r="F62" s="128">
        <v>4.84</v>
      </c>
      <c r="G62" s="129">
        <v>39.75</v>
      </c>
      <c r="H62" s="129">
        <f t="shared" ca="1" si="4"/>
        <v>49.6875</v>
      </c>
      <c r="I62" s="130" t="s">
        <v>1182</v>
      </c>
      <c r="J62" s="131">
        <v>240.5</v>
      </c>
    </row>
    <row r="63" spans="1:10" ht="25.2" customHeight="1">
      <c r="A63" s="125" t="s">
        <v>103</v>
      </c>
      <c r="B63" s="126">
        <v>96540</v>
      </c>
      <c r="C63" s="127" t="s">
        <v>104</v>
      </c>
      <c r="D63" s="126" t="s">
        <v>12</v>
      </c>
      <c r="E63" s="126" t="s">
        <v>13</v>
      </c>
      <c r="F63" s="128">
        <v>4.4000000000000004</v>
      </c>
      <c r="G63" s="129">
        <v>122.72</v>
      </c>
      <c r="H63" s="129">
        <f t="shared" ca="1" si="4"/>
        <v>153.4</v>
      </c>
      <c r="I63" s="130" t="s">
        <v>1183</v>
      </c>
      <c r="J63" s="131">
        <f t="shared" ref="J63" ca="1" si="5">H63*F63</f>
        <v>674.96</v>
      </c>
    </row>
    <row r="64" spans="1:10" ht="21" customHeight="1">
      <c r="A64" s="125" t="s">
        <v>105</v>
      </c>
      <c r="B64" s="126">
        <v>96546</v>
      </c>
      <c r="C64" s="127" t="s">
        <v>106</v>
      </c>
      <c r="D64" s="126" t="s">
        <v>12</v>
      </c>
      <c r="E64" s="126" t="s">
        <v>72</v>
      </c>
      <c r="F64" s="128">
        <v>116.61</v>
      </c>
      <c r="G64" s="129">
        <v>12.93</v>
      </c>
      <c r="H64" s="129">
        <f t="shared" ca="1" si="4"/>
        <v>16.162500000000001</v>
      </c>
      <c r="I64" s="130" t="s">
        <v>1184</v>
      </c>
      <c r="J64" s="131">
        <v>1884.42</v>
      </c>
    </row>
    <row r="65" spans="1:10" ht="22.8">
      <c r="A65" s="125" t="s">
        <v>107</v>
      </c>
      <c r="B65" s="126">
        <v>104920</v>
      </c>
      <c r="C65" s="127" t="s">
        <v>78</v>
      </c>
      <c r="D65" s="126" t="s">
        <v>12</v>
      </c>
      <c r="E65" s="126" t="s">
        <v>72</v>
      </c>
      <c r="F65" s="128">
        <v>83.78</v>
      </c>
      <c r="G65" s="129">
        <v>9.91</v>
      </c>
      <c r="H65" s="129">
        <f t="shared" ca="1" si="4"/>
        <v>12.387499999999999</v>
      </c>
      <c r="I65" s="130" t="s">
        <v>1185</v>
      </c>
      <c r="J65" s="131">
        <v>1038.03</v>
      </c>
    </row>
    <row r="66" spans="1:10" ht="24.6" customHeight="1">
      <c r="A66" s="125" t="s">
        <v>108</v>
      </c>
      <c r="B66" s="126">
        <v>104915</v>
      </c>
      <c r="C66" s="127" t="s">
        <v>109</v>
      </c>
      <c r="D66" s="126" t="s">
        <v>12</v>
      </c>
      <c r="E66" s="126" t="s">
        <v>72</v>
      </c>
      <c r="F66" s="128">
        <v>13.87</v>
      </c>
      <c r="G66" s="129">
        <v>9.16</v>
      </c>
      <c r="H66" s="129">
        <f t="shared" ca="1" si="4"/>
        <v>11.45</v>
      </c>
      <c r="I66" s="130" t="s">
        <v>1186</v>
      </c>
      <c r="J66" s="131">
        <v>158.81</v>
      </c>
    </row>
    <row r="67" spans="1:10" ht="22.2" customHeight="1">
      <c r="A67" s="125" t="s">
        <v>110</v>
      </c>
      <c r="B67" s="126">
        <v>96543</v>
      </c>
      <c r="C67" s="127" t="s">
        <v>93</v>
      </c>
      <c r="D67" s="126" t="s">
        <v>12</v>
      </c>
      <c r="E67" s="126" t="s">
        <v>72</v>
      </c>
      <c r="F67" s="128">
        <v>13.08</v>
      </c>
      <c r="G67" s="129">
        <v>18.71</v>
      </c>
      <c r="H67" s="129">
        <f t="shared" ca="1" si="4"/>
        <v>23.387500000000003</v>
      </c>
      <c r="I67" s="130" t="s">
        <v>1187</v>
      </c>
      <c r="J67" s="131">
        <v>305.94</v>
      </c>
    </row>
    <row r="68" spans="1:10" ht="28.2" customHeight="1">
      <c r="A68" s="125" t="s">
        <v>111</v>
      </c>
      <c r="B68" s="126">
        <v>96557</v>
      </c>
      <c r="C68" s="127" t="s">
        <v>95</v>
      </c>
      <c r="D68" s="126" t="s">
        <v>12</v>
      </c>
      <c r="E68" s="126" t="s">
        <v>46</v>
      </c>
      <c r="F68" s="128">
        <v>2.42</v>
      </c>
      <c r="G68" s="129">
        <v>809.99</v>
      </c>
      <c r="H68" s="129">
        <f t="shared" ca="1" si="4"/>
        <v>1012.4875</v>
      </c>
      <c r="I68" s="130" t="s">
        <v>1188</v>
      </c>
      <c r="J68" s="131">
        <v>2450.23</v>
      </c>
    </row>
    <row r="69" spans="1:10" ht="20.100000000000001" customHeight="1">
      <c r="A69" s="122" t="s">
        <v>112</v>
      </c>
      <c r="B69" s="141" t="s">
        <v>113</v>
      </c>
      <c r="C69" s="141"/>
      <c r="D69" s="141"/>
      <c r="E69" s="141"/>
      <c r="F69" s="141"/>
      <c r="G69" s="141"/>
      <c r="H69" s="122"/>
      <c r="I69" s="123">
        <v>2468.3000000000002</v>
      </c>
      <c r="J69" s="124">
        <f>SUM(J70:J74)</f>
        <v>3085.4099999999994</v>
      </c>
    </row>
    <row r="70" spans="1:10" ht="36" customHeight="1">
      <c r="A70" s="125" t="s">
        <v>114</v>
      </c>
      <c r="B70" s="126">
        <v>100896</v>
      </c>
      <c r="C70" s="127" t="s">
        <v>99</v>
      </c>
      <c r="D70" s="126" t="s">
        <v>12</v>
      </c>
      <c r="E70" s="126" t="s">
        <v>25</v>
      </c>
      <c r="F70" s="128">
        <v>17.5</v>
      </c>
      <c r="G70" s="129">
        <v>65.2</v>
      </c>
      <c r="H70" s="129">
        <f t="shared" ca="1" si="4"/>
        <v>81.5</v>
      </c>
      <c r="I70" s="130" t="s">
        <v>1189</v>
      </c>
      <c r="J70" s="131">
        <v>1426.25</v>
      </c>
    </row>
    <row r="71" spans="1:10" ht="31.2" customHeight="1">
      <c r="A71" s="125" t="s">
        <v>115</v>
      </c>
      <c r="B71" s="126">
        <v>96619</v>
      </c>
      <c r="C71" s="127" t="s">
        <v>67</v>
      </c>
      <c r="D71" s="126" t="s">
        <v>12</v>
      </c>
      <c r="E71" s="126" t="s">
        <v>13</v>
      </c>
      <c r="F71" s="128">
        <v>1.25</v>
      </c>
      <c r="G71" s="129">
        <v>39.75</v>
      </c>
      <c r="H71" s="129">
        <f t="shared" ca="1" si="4"/>
        <v>49.6875</v>
      </c>
      <c r="I71" s="130" t="s">
        <v>1190</v>
      </c>
      <c r="J71" s="131">
        <v>62.11</v>
      </c>
    </row>
    <row r="72" spans="1:10" ht="28.8" customHeight="1">
      <c r="A72" s="125" t="s">
        <v>116</v>
      </c>
      <c r="B72" s="126">
        <v>96540</v>
      </c>
      <c r="C72" s="127" t="s">
        <v>104</v>
      </c>
      <c r="D72" s="126" t="s">
        <v>12</v>
      </c>
      <c r="E72" s="126" t="s">
        <v>13</v>
      </c>
      <c r="F72" s="128">
        <v>5</v>
      </c>
      <c r="G72" s="129">
        <v>122.72</v>
      </c>
      <c r="H72" s="129">
        <f t="shared" ca="1" si="4"/>
        <v>153.4</v>
      </c>
      <c r="I72" s="130" t="s">
        <v>1191</v>
      </c>
      <c r="J72" s="131">
        <v>767</v>
      </c>
    </row>
    <row r="73" spans="1:10" ht="21" customHeight="1">
      <c r="A73" s="125" t="s">
        <v>117</v>
      </c>
      <c r="B73" s="126">
        <v>103797</v>
      </c>
      <c r="C73" s="127" t="s">
        <v>118</v>
      </c>
      <c r="D73" s="126" t="s">
        <v>12</v>
      </c>
      <c r="E73" s="126" t="s">
        <v>72</v>
      </c>
      <c r="F73" s="128">
        <v>10.19</v>
      </c>
      <c r="G73" s="129">
        <v>15.09</v>
      </c>
      <c r="H73" s="129">
        <f t="shared" ca="1" si="4"/>
        <v>18.862500000000001</v>
      </c>
      <c r="I73" s="130" t="s">
        <v>1192</v>
      </c>
      <c r="J73" s="131">
        <v>192.18</v>
      </c>
    </row>
    <row r="74" spans="1:10" ht="27" customHeight="1">
      <c r="A74" s="125" t="s">
        <v>119</v>
      </c>
      <c r="B74" s="126">
        <v>96557</v>
      </c>
      <c r="C74" s="127" t="s">
        <v>95</v>
      </c>
      <c r="D74" s="126" t="s">
        <v>12</v>
      </c>
      <c r="E74" s="126" t="s">
        <v>46</v>
      </c>
      <c r="F74" s="128">
        <v>0.63</v>
      </c>
      <c r="G74" s="129">
        <v>809.99</v>
      </c>
      <c r="H74" s="129">
        <f t="shared" ca="1" si="4"/>
        <v>1012.4875</v>
      </c>
      <c r="I74" s="130" t="s">
        <v>1193</v>
      </c>
      <c r="J74" s="131">
        <v>637.87</v>
      </c>
    </row>
    <row r="75" spans="1:10" ht="20.100000000000001" customHeight="1">
      <c r="A75" s="122" t="s">
        <v>120</v>
      </c>
      <c r="B75" s="141" t="s">
        <v>121</v>
      </c>
      <c r="C75" s="141"/>
      <c r="D75" s="141"/>
      <c r="E75" s="141"/>
      <c r="F75" s="141"/>
      <c r="G75" s="141"/>
      <c r="H75" s="122"/>
      <c r="I75" s="123">
        <v>8660.16</v>
      </c>
      <c r="J75" s="124">
        <f>SUM(J76:J79)</f>
        <v>10825.45</v>
      </c>
    </row>
    <row r="76" spans="1:10" ht="30.6" customHeight="1">
      <c r="A76" s="125" t="s">
        <v>122</v>
      </c>
      <c r="B76" s="126">
        <v>96619</v>
      </c>
      <c r="C76" s="127" t="s">
        <v>67</v>
      </c>
      <c r="D76" s="126" t="s">
        <v>12</v>
      </c>
      <c r="E76" s="126" t="s">
        <v>13</v>
      </c>
      <c r="F76" s="128">
        <v>13.25</v>
      </c>
      <c r="G76" s="129">
        <v>39.75</v>
      </c>
      <c r="H76" s="129">
        <f t="shared" ca="1" si="4"/>
        <v>49.6875</v>
      </c>
      <c r="I76" s="130" t="s">
        <v>1194</v>
      </c>
      <c r="J76" s="131">
        <v>658.39</v>
      </c>
    </row>
    <row r="77" spans="1:10" ht="28.8" customHeight="1">
      <c r="A77" s="125" t="s">
        <v>123</v>
      </c>
      <c r="B77" s="126">
        <v>96542</v>
      </c>
      <c r="C77" s="127" t="s">
        <v>124</v>
      </c>
      <c r="D77" s="126" t="s">
        <v>12</v>
      </c>
      <c r="E77" s="126" t="s">
        <v>13</v>
      </c>
      <c r="F77" s="128">
        <v>44.97</v>
      </c>
      <c r="G77" s="129">
        <v>90.68</v>
      </c>
      <c r="H77" s="129">
        <f t="shared" ca="1" si="4"/>
        <v>113.35000000000001</v>
      </c>
      <c r="I77" s="130" t="s">
        <v>1195</v>
      </c>
      <c r="J77" s="131">
        <v>5097.3500000000004</v>
      </c>
    </row>
    <row r="78" spans="1:10" ht="30" customHeight="1">
      <c r="A78" s="125" t="s">
        <v>125</v>
      </c>
      <c r="B78" s="126">
        <v>104918</v>
      </c>
      <c r="C78" s="127" t="s">
        <v>74</v>
      </c>
      <c r="D78" s="126" t="s">
        <v>12</v>
      </c>
      <c r="E78" s="126" t="s">
        <v>72</v>
      </c>
      <c r="F78" s="128">
        <v>84.2</v>
      </c>
      <c r="G78" s="129">
        <v>13.15</v>
      </c>
      <c r="H78" s="129">
        <f t="shared" ca="1" si="4"/>
        <v>16.4375</v>
      </c>
      <c r="I78" s="130" t="s">
        <v>1196</v>
      </c>
      <c r="J78" s="131">
        <v>1384.25</v>
      </c>
    </row>
    <row r="79" spans="1:10" ht="27.6" customHeight="1">
      <c r="A79" s="125" t="s">
        <v>126</v>
      </c>
      <c r="B79" s="126">
        <v>96557</v>
      </c>
      <c r="C79" s="127" t="s">
        <v>95</v>
      </c>
      <c r="D79" s="126" t="s">
        <v>12</v>
      </c>
      <c r="E79" s="126" t="s">
        <v>46</v>
      </c>
      <c r="F79" s="128">
        <v>3.64</v>
      </c>
      <c r="G79" s="129">
        <v>809.99</v>
      </c>
      <c r="H79" s="129">
        <f t="shared" ca="1" si="4"/>
        <v>1012.4875</v>
      </c>
      <c r="I79" s="130" t="s">
        <v>1197</v>
      </c>
      <c r="J79" s="131">
        <v>3685.46</v>
      </c>
    </row>
    <row r="80" spans="1:10" ht="20.100000000000001" customHeight="1">
      <c r="A80" s="122">
        <v>4</v>
      </c>
      <c r="B80" s="141" t="s">
        <v>127</v>
      </c>
      <c r="C80" s="141"/>
      <c r="D80" s="141"/>
      <c r="E80" s="141"/>
      <c r="F80" s="141"/>
      <c r="G80" s="141"/>
      <c r="H80" s="122"/>
      <c r="I80" s="123">
        <v>307946.84999999998</v>
      </c>
      <c r="J80" s="124">
        <f ca="1">SUM(J81,J87,J93,J95,J100,J107,J109)</f>
        <v>384926.35749999998</v>
      </c>
    </row>
    <row r="81" spans="1:10" ht="20.100000000000001" customHeight="1">
      <c r="A81" s="122" t="s">
        <v>128</v>
      </c>
      <c r="B81" s="141" t="s">
        <v>129</v>
      </c>
      <c r="C81" s="141"/>
      <c r="D81" s="141"/>
      <c r="E81" s="141"/>
      <c r="F81" s="141"/>
      <c r="G81" s="141"/>
      <c r="H81" s="122"/>
      <c r="I81" s="123">
        <v>45523.03</v>
      </c>
      <c r="J81" s="124">
        <f>SUM(J82:J86)</f>
        <v>56911.240000000005</v>
      </c>
    </row>
    <row r="82" spans="1:10" ht="42" customHeight="1">
      <c r="A82" s="125" t="s">
        <v>130</v>
      </c>
      <c r="B82" s="126">
        <v>92443</v>
      </c>
      <c r="C82" s="127" t="s">
        <v>131</v>
      </c>
      <c r="D82" s="126" t="s">
        <v>12</v>
      </c>
      <c r="E82" s="126" t="s">
        <v>13</v>
      </c>
      <c r="F82" s="128">
        <v>333.34</v>
      </c>
      <c r="G82" s="129">
        <v>45.87</v>
      </c>
      <c r="H82" s="129">
        <f t="shared" ref="H82:H108" ca="1" si="6">(G82*I$5)+G82</f>
        <v>57.337499999999999</v>
      </c>
      <c r="I82" s="130" t="s">
        <v>1198</v>
      </c>
      <c r="J82" s="131">
        <v>19113.72</v>
      </c>
    </row>
    <row r="83" spans="1:10" ht="31.8" customHeight="1">
      <c r="A83" s="125" t="s">
        <v>132</v>
      </c>
      <c r="B83" s="126">
        <v>92762</v>
      </c>
      <c r="C83" s="127" t="s">
        <v>133</v>
      </c>
      <c r="D83" s="126" t="s">
        <v>12</v>
      </c>
      <c r="E83" s="126" t="s">
        <v>72</v>
      </c>
      <c r="F83" s="128">
        <v>839.33</v>
      </c>
      <c r="G83" s="129">
        <v>10.06</v>
      </c>
      <c r="H83" s="129">
        <f t="shared" ca="1" si="6"/>
        <v>12.575000000000001</v>
      </c>
      <c r="I83" s="130" t="s">
        <v>1199</v>
      </c>
      <c r="J83" s="131">
        <v>10558.77</v>
      </c>
    </row>
    <row r="84" spans="1:10" ht="31.8" customHeight="1">
      <c r="A84" s="125" t="s">
        <v>134</v>
      </c>
      <c r="B84" s="126">
        <v>92763</v>
      </c>
      <c r="C84" s="127" t="s">
        <v>135</v>
      </c>
      <c r="D84" s="126" t="s">
        <v>12</v>
      </c>
      <c r="E84" s="126" t="s">
        <v>72</v>
      </c>
      <c r="F84" s="128">
        <v>312.88</v>
      </c>
      <c r="G84" s="129">
        <v>8.44</v>
      </c>
      <c r="H84" s="129">
        <f t="shared" ca="1" si="6"/>
        <v>10.549999999999999</v>
      </c>
      <c r="I84" s="130" t="s">
        <v>1200</v>
      </c>
      <c r="J84" s="131">
        <v>3300.88</v>
      </c>
    </row>
    <row r="85" spans="1:10" ht="30" customHeight="1">
      <c r="A85" s="125" t="s">
        <v>136</v>
      </c>
      <c r="B85" s="126">
        <v>92759</v>
      </c>
      <c r="C85" s="127" t="s">
        <v>137</v>
      </c>
      <c r="D85" s="126" t="s">
        <v>12</v>
      </c>
      <c r="E85" s="126" t="s">
        <v>72</v>
      </c>
      <c r="F85" s="128">
        <v>450.22</v>
      </c>
      <c r="G85" s="129">
        <v>13.06</v>
      </c>
      <c r="H85" s="129">
        <f t="shared" ca="1" si="6"/>
        <v>16.324999999999999</v>
      </c>
      <c r="I85" s="130" t="s">
        <v>1201</v>
      </c>
      <c r="J85" s="131">
        <v>7352.09</v>
      </c>
    </row>
    <row r="86" spans="1:10" ht="28.2" customHeight="1">
      <c r="A86" s="125" t="s">
        <v>138</v>
      </c>
      <c r="B86" s="126">
        <v>103672</v>
      </c>
      <c r="C86" s="127" t="s">
        <v>139</v>
      </c>
      <c r="D86" s="126" t="s">
        <v>12</v>
      </c>
      <c r="E86" s="126" t="s">
        <v>46</v>
      </c>
      <c r="F86" s="128">
        <v>18.25</v>
      </c>
      <c r="G86" s="129">
        <v>727.04</v>
      </c>
      <c r="H86" s="129">
        <f t="shared" ca="1" si="6"/>
        <v>908.8</v>
      </c>
      <c r="I86" s="130" t="s">
        <v>1202</v>
      </c>
      <c r="J86" s="131">
        <v>16585.78</v>
      </c>
    </row>
    <row r="87" spans="1:10" ht="20.100000000000001" customHeight="1">
      <c r="A87" s="122" t="s">
        <v>140</v>
      </c>
      <c r="B87" s="141" t="s">
        <v>141</v>
      </c>
      <c r="C87" s="141"/>
      <c r="D87" s="141"/>
      <c r="E87" s="141"/>
      <c r="F87" s="141"/>
      <c r="G87" s="141"/>
      <c r="H87" s="122"/>
      <c r="I87" s="123">
        <v>46179.05</v>
      </c>
      <c r="J87" s="124">
        <f>SUM(J88:J92)</f>
        <v>57728.599999999991</v>
      </c>
    </row>
    <row r="88" spans="1:10" ht="37.200000000000003" customHeight="1">
      <c r="A88" s="125" t="s">
        <v>142</v>
      </c>
      <c r="B88" s="126">
        <v>92443</v>
      </c>
      <c r="C88" s="127" t="s">
        <v>131</v>
      </c>
      <c r="D88" s="126" t="s">
        <v>12</v>
      </c>
      <c r="E88" s="126" t="s">
        <v>13</v>
      </c>
      <c r="F88" s="128">
        <v>344.1</v>
      </c>
      <c r="G88" s="129">
        <v>45.87</v>
      </c>
      <c r="H88" s="129">
        <f t="shared" ca="1" si="6"/>
        <v>57.337499999999999</v>
      </c>
      <c r="I88" s="130" t="s">
        <v>1203</v>
      </c>
      <c r="J88" s="131">
        <v>19730.689999999999</v>
      </c>
    </row>
    <row r="89" spans="1:10" ht="30.6" customHeight="1">
      <c r="A89" s="125" t="s">
        <v>143</v>
      </c>
      <c r="B89" s="126">
        <v>92761</v>
      </c>
      <c r="C89" s="127" t="s">
        <v>144</v>
      </c>
      <c r="D89" s="126" t="s">
        <v>12</v>
      </c>
      <c r="E89" s="126" t="s">
        <v>72</v>
      </c>
      <c r="F89" s="128">
        <v>675.91</v>
      </c>
      <c r="G89" s="129">
        <v>11.31</v>
      </c>
      <c r="H89" s="129">
        <f t="shared" ca="1" si="6"/>
        <v>14.137500000000001</v>
      </c>
      <c r="I89" s="130" t="s">
        <v>1204</v>
      </c>
      <c r="J89" s="131">
        <v>9557.3700000000008</v>
      </c>
    </row>
    <row r="90" spans="1:10" ht="32.4" customHeight="1">
      <c r="A90" s="125" t="s">
        <v>145</v>
      </c>
      <c r="B90" s="126">
        <v>92762</v>
      </c>
      <c r="C90" s="127" t="s">
        <v>133</v>
      </c>
      <c r="D90" s="126" t="s">
        <v>12</v>
      </c>
      <c r="E90" s="126" t="s">
        <v>72</v>
      </c>
      <c r="F90" s="128">
        <v>9.64</v>
      </c>
      <c r="G90" s="129">
        <v>10.06</v>
      </c>
      <c r="H90" s="129">
        <f t="shared" ca="1" si="6"/>
        <v>12.575000000000001</v>
      </c>
      <c r="I90" s="130" t="s">
        <v>1205</v>
      </c>
      <c r="J90" s="131">
        <v>121.27</v>
      </c>
    </row>
    <row r="91" spans="1:10" ht="29.4" customHeight="1">
      <c r="A91" s="125" t="s">
        <v>146</v>
      </c>
      <c r="B91" s="126">
        <v>92759</v>
      </c>
      <c r="C91" s="127" t="s">
        <v>137</v>
      </c>
      <c r="D91" s="126" t="s">
        <v>12</v>
      </c>
      <c r="E91" s="126" t="s">
        <v>72</v>
      </c>
      <c r="F91" s="128">
        <v>365.31</v>
      </c>
      <c r="G91" s="129">
        <v>13.06</v>
      </c>
      <c r="H91" s="129">
        <f t="shared" ca="1" si="6"/>
        <v>16.324999999999999</v>
      </c>
      <c r="I91" s="130" t="s">
        <v>1206</v>
      </c>
      <c r="J91" s="131">
        <v>5965.51</v>
      </c>
    </row>
    <row r="92" spans="1:10" ht="27" customHeight="1">
      <c r="A92" s="125" t="s">
        <v>147</v>
      </c>
      <c r="B92" s="126">
        <v>103675</v>
      </c>
      <c r="C92" s="127" t="s">
        <v>148</v>
      </c>
      <c r="D92" s="126" t="s">
        <v>12</v>
      </c>
      <c r="E92" s="126" t="s">
        <v>46</v>
      </c>
      <c r="F92" s="128">
        <v>24.55</v>
      </c>
      <c r="G92" s="129">
        <v>728.43</v>
      </c>
      <c r="H92" s="129">
        <f t="shared" ca="1" si="6"/>
        <v>910.53749999999991</v>
      </c>
      <c r="I92" s="130" t="s">
        <v>1207</v>
      </c>
      <c r="J92" s="131">
        <v>22353.759999999998</v>
      </c>
    </row>
    <row r="93" spans="1:10" ht="20.100000000000001" customHeight="1">
      <c r="A93" s="122" t="s">
        <v>149</v>
      </c>
      <c r="B93" s="141" t="s">
        <v>150</v>
      </c>
      <c r="C93" s="141"/>
      <c r="D93" s="141"/>
      <c r="E93" s="141"/>
      <c r="F93" s="141"/>
      <c r="G93" s="141"/>
      <c r="H93" s="122"/>
      <c r="I93" s="123">
        <v>3709.95</v>
      </c>
      <c r="J93" s="124">
        <f>SUM(J94)</f>
        <v>4637.12</v>
      </c>
    </row>
    <row r="94" spans="1:10">
      <c r="A94" s="125" t="s">
        <v>151</v>
      </c>
      <c r="B94" s="126">
        <v>93184</v>
      </c>
      <c r="C94" s="127" t="s">
        <v>152</v>
      </c>
      <c r="D94" s="126" t="s">
        <v>12</v>
      </c>
      <c r="E94" s="126" t="s">
        <v>25</v>
      </c>
      <c r="F94" s="128">
        <v>124.12</v>
      </c>
      <c r="G94" s="129">
        <v>29.89</v>
      </c>
      <c r="H94" s="129">
        <f t="shared" ca="1" si="6"/>
        <v>37.362499999999997</v>
      </c>
      <c r="I94" s="130" t="s">
        <v>1208</v>
      </c>
      <c r="J94" s="131">
        <v>4637.12</v>
      </c>
    </row>
    <row r="95" spans="1:10" ht="20.100000000000001" customHeight="1">
      <c r="A95" s="122" t="s">
        <v>153</v>
      </c>
      <c r="B95" s="141" t="s">
        <v>154</v>
      </c>
      <c r="C95" s="141"/>
      <c r="D95" s="141"/>
      <c r="E95" s="141"/>
      <c r="F95" s="141"/>
      <c r="G95" s="141"/>
      <c r="H95" s="122"/>
      <c r="I95" s="123">
        <v>2053.35</v>
      </c>
      <c r="J95" s="124">
        <f ca="1">SUM(J96:J99)</f>
        <v>2566.9174999999996</v>
      </c>
    </row>
    <row r="96" spans="1:10" ht="43.8" customHeight="1">
      <c r="A96" s="125" t="s">
        <v>155</v>
      </c>
      <c r="B96" s="126">
        <v>92443</v>
      </c>
      <c r="C96" s="127" t="s">
        <v>131</v>
      </c>
      <c r="D96" s="126" t="s">
        <v>12</v>
      </c>
      <c r="E96" s="126" t="s">
        <v>13</v>
      </c>
      <c r="F96" s="128">
        <v>18</v>
      </c>
      <c r="G96" s="129">
        <v>45.87</v>
      </c>
      <c r="H96" s="129">
        <f t="shared" ca="1" si="6"/>
        <v>57.337499999999999</v>
      </c>
      <c r="I96" s="130" t="s">
        <v>1209</v>
      </c>
      <c r="J96" s="131">
        <v>1032.1199999999999</v>
      </c>
    </row>
    <row r="97" spans="1:10" ht="29.4" customHeight="1">
      <c r="A97" s="125" t="s">
        <v>156</v>
      </c>
      <c r="B97" s="126">
        <v>92761</v>
      </c>
      <c r="C97" s="127" t="s">
        <v>144</v>
      </c>
      <c r="D97" s="126" t="s">
        <v>12</v>
      </c>
      <c r="E97" s="126" t="s">
        <v>72</v>
      </c>
      <c r="F97" s="128">
        <v>43.92</v>
      </c>
      <c r="G97" s="129">
        <v>11.31</v>
      </c>
      <c r="H97" s="129">
        <f t="shared" ca="1" si="6"/>
        <v>14.137500000000001</v>
      </c>
      <c r="I97" s="130" t="s">
        <v>1210</v>
      </c>
      <c r="J97" s="131">
        <v>621.03</v>
      </c>
    </row>
    <row r="98" spans="1:10" ht="28.2" customHeight="1">
      <c r="A98" s="125" t="s">
        <v>157</v>
      </c>
      <c r="B98" s="126">
        <v>92759</v>
      </c>
      <c r="C98" s="127" t="s">
        <v>137</v>
      </c>
      <c r="D98" s="126" t="s">
        <v>12</v>
      </c>
      <c r="E98" s="126" t="s">
        <v>72</v>
      </c>
      <c r="F98" s="128">
        <v>13.66</v>
      </c>
      <c r="G98" s="129">
        <v>13.06</v>
      </c>
      <c r="H98" s="129">
        <f t="shared" ca="1" si="6"/>
        <v>16.324999999999999</v>
      </c>
      <c r="I98" s="130" t="s">
        <v>1211</v>
      </c>
      <c r="J98" s="131">
        <v>223.07</v>
      </c>
    </row>
    <row r="99" spans="1:10" ht="28.2" customHeight="1">
      <c r="A99" s="125" t="s">
        <v>158</v>
      </c>
      <c r="B99" s="126">
        <v>103672</v>
      </c>
      <c r="C99" s="127" t="s">
        <v>139</v>
      </c>
      <c r="D99" s="126" t="s">
        <v>12</v>
      </c>
      <c r="E99" s="126" t="s">
        <v>46</v>
      </c>
      <c r="F99" s="128">
        <v>0.76</v>
      </c>
      <c r="G99" s="129">
        <v>727.05</v>
      </c>
      <c r="H99" s="129">
        <f t="shared" ca="1" si="6"/>
        <v>908.8125</v>
      </c>
      <c r="I99" s="130" t="s">
        <v>1212</v>
      </c>
      <c r="J99" s="131">
        <f t="shared" ref="J99" ca="1" si="7">H99*F99</f>
        <v>690.69749999999999</v>
      </c>
    </row>
    <row r="100" spans="1:10" ht="20.100000000000001" customHeight="1">
      <c r="A100" s="122" t="s">
        <v>159</v>
      </c>
      <c r="B100" s="141" t="s">
        <v>160</v>
      </c>
      <c r="C100" s="141"/>
      <c r="D100" s="141"/>
      <c r="E100" s="141"/>
      <c r="F100" s="141"/>
      <c r="G100" s="141"/>
      <c r="H100" s="122"/>
      <c r="I100" s="123">
        <v>2688.93</v>
      </c>
      <c r="J100" s="124">
        <f>SUM(J101:J106)</f>
        <v>3361.57</v>
      </c>
    </row>
    <row r="101" spans="1:10" ht="40.200000000000003" customHeight="1">
      <c r="A101" s="125" t="s">
        <v>161</v>
      </c>
      <c r="B101" s="126">
        <v>92443</v>
      </c>
      <c r="C101" s="127" t="s">
        <v>131</v>
      </c>
      <c r="D101" s="126" t="s">
        <v>12</v>
      </c>
      <c r="E101" s="126" t="s">
        <v>13</v>
      </c>
      <c r="F101" s="128">
        <v>19.239999999999998</v>
      </c>
      <c r="G101" s="129">
        <v>45.87</v>
      </c>
      <c r="H101" s="129">
        <f t="shared" ca="1" si="6"/>
        <v>57.337499999999999</v>
      </c>
      <c r="I101" s="130" t="s">
        <v>1213</v>
      </c>
      <c r="J101" s="131">
        <v>1103.22</v>
      </c>
    </row>
    <row r="102" spans="1:10" ht="33.6" customHeight="1">
      <c r="A102" s="125" t="s">
        <v>162</v>
      </c>
      <c r="B102" s="126">
        <v>92760</v>
      </c>
      <c r="C102" s="127" t="s">
        <v>163</v>
      </c>
      <c r="D102" s="126" t="s">
        <v>12</v>
      </c>
      <c r="E102" s="126" t="s">
        <v>72</v>
      </c>
      <c r="F102" s="128">
        <v>15.26</v>
      </c>
      <c r="G102" s="129">
        <v>12.18</v>
      </c>
      <c r="H102" s="129">
        <f t="shared" ca="1" si="6"/>
        <v>15.225</v>
      </c>
      <c r="I102" s="130" t="s">
        <v>1214</v>
      </c>
      <c r="J102" s="131">
        <v>232.41</v>
      </c>
    </row>
    <row r="103" spans="1:10" ht="30.6" customHeight="1">
      <c r="A103" s="125" t="s">
        <v>164</v>
      </c>
      <c r="B103" s="126">
        <v>92761</v>
      </c>
      <c r="C103" s="127" t="s">
        <v>144</v>
      </c>
      <c r="D103" s="126" t="s">
        <v>12</v>
      </c>
      <c r="E103" s="126" t="s">
        <v>72</v>
      </c>
      <c r="F103" s="128">
        <v>19.45</v>
      </c>
      <c r="G103" s="129">
        <v>11.31</v>
      </c>
      <c r="H103" s="129">
        <f t="shared" ca="1" si="6"/>
        <v>14.137500000000001</v>
      </c>
      <c r="I103" s="130" t="s">
        <v>1142</v>
      </c>
      <c r="J103" s="131">
        <v>275.02</v>
      </c>
    </row>
    <row r="104" spans="1:10" ht="34.799999999999997" customHeight="1">
      <c r="A104" s="125" t="s">
        <v>165</v>
      </c>
      <c r="B104" s="126">
        <v>92762</v>
      </c>
      <c r="C104" s="127" t="s">
        <v>133</v>
      </c>
      <c r="D104" s="126" t="s">
        <v>12</v>
      </c>
      <c r="E104" s="126" t="s">
        <v>72</v>
      </c>
      <c r="F104" s="128">
        <v>28.01</v>
      </c>
      <c r="G104" s="129">
        <v>10.06</v>
      </c>
      <c r="H104" s="129">
        <f t="shared" ca="1" si="6"/>
        <v>12.575000000000001</v>
      </c>
      <c r="I104" s="130" t="s">
        <v>1215</v>
      </c>
      <c r="J104" s="131">
        <v>352.37</v>
      </c>
    </row>
    <row r="105" spans="1:10" ht="27" customHeight="1">
      <c r="A105" s="125" t="s">
        <v>166</v>
      </c>
      <c r="B105" s="126">
        <v>92759</v>
      </c>
      <c r="C105" s="127" t="s">
        <v>137</v>
      </c>
      <c r="D105" s="126" t="s">
        <v>12</v>
      </c>
      <c r="E105" s="126" t="s">
        <v>72</v>
      </c>
      <c r="F105" s="128">
        <v>17.059999999999999</v>
      </c>
      <c r="G105" s="129">
        <v>13.06</v>
      </c>
      <c r="H105" s="129">
        <f t="shared" ca="1" si="6"/>
        <v>16.324999999999999</v>
      </c>
      <c r="I105" s="130" t="s">
        <v>1216</v>
      </c>
      <c r="J105" s="131">
        <v>278.58999999999997</v>
      </c>
    </row>
    <row r="106" spans="1:10" ht="30.6" customHeight="1">
      <c r="A106" s="125" t="s">
        <v>167</v>
      </c>
      <c r="B106" s="126">
        <v>103675</v>
      </c>
      <c r="C106" s="127" t="s">
        <v>148</v>
      </c>
      <c r="D106" s="126" t="s">
        <v>12</v>
      </c>
      <c r="E106" s="126" t="s">
        <v>46</v>
      </c>
      <c r="F106" s="128">
        <v>1.23</v>
      </c>
      <c r="G106" s="129">
        <v>728.43</v>
      </c>
      <c r="H106" s="129">
        <f t="shared" ca="1" si="6"/>
        <v>910.53749999999991</v>
      </c>
      <c r="I106" s="130" t="s">
        <v>1217</v>
      </c>
      <c r="J106" s="131">
        <v>1119.96</v>
      </c>
    </row>
    <row r="107" spans="1:10" ht="20.100000000000001" customHeight="1">
      <c r="A107" s="122" t="s">
        <v>168</v>
      </c>
      <c r="B107" s="141" t="s">
        <v>169</v>
      </c>
      <c r="C107" s="141"/>
      <c r="D107" s="141"/>
      <c r="E107" s="141"/>
      <c r="F107" s="141"/>
      <c r="G107" s="141"/>
      <c r="H107" s="122"/>
      <c r="I107" s="123">
        <v>131150.48000000001</v>
      </c>
      <c r="J107" s="124">
        <f>SUM(J108)</f>
        <v>163913.87</v>
      </c>
    </row>
    <row r="108" spans="1:10" ht="37.799999999999997" customHeight="1">
      <c r="A108" s="125" t="s">
        <v>170</v>
      </c>
      <c r="B108" s="126">
        <v>100775</v>
      </c>
      <c r="C108" s="127" t="s">
        <v>171</v>
      </c>
      <c r="D108" s="126" t="s">
        <v>12</v>
      </c>
      <c r="E108" s="126" t="s">
        <v>72</v>
      </c>
      <c r="F108" s="128">
        <v>9693.31</v>
      </c>
      <c r="G108" s="129">
        <v>13.53</v>
      </c>
      <c r="H108" s="129">
        <f t="shared" ca="1" si="6"/>
        <v>16.912499999999998</v>
      </c>
      <c r="I108" s="130" t="s">
        <v>1218</v>
      </c>
      <c r="J108" s="131">
        <v>163913.87</v>
      </c>
    </row>
    <row r="109" spans="1:10" ht="20.100000000000001" customHeight="1">
      <c r="A109" s="122" t="s">
        <v>172</v>
      </c>
      <c r="B109" s="141" t="s">
        <v>173</v>
      </c>
      <c r="C109" s="141"/>
      <c r="D109" s="141"/>
      <c r="E109" s="141"/>
      <c r="F109" s="141"/>
      <c r="G109" s="141"/>
      <c r="H109" s="122"/>
      <c r="I109" s="123">
        <v>76642.06</v>
      </c>
      <c r="J109" s="124">
        <f>SUM(J110,J115)</f>
        <v>95807.039999999994</v>
      </c>
    </row>
    <row r="110" spans="1:10" ht="20.100000000000001" customHeight="1">
      <c r="A110" s="122" t="s">
        <v>174</v>
      </c>
      <c r="B110" s="141" t="s">
        <v>175</v>
      </c>
      <c r="C110" s="141"/>
      <c r="D110" s="141"/>
      <c r="E110" s="141"/>
      <c r="F110" s="141"/>
      <c r="G110" s="141"/>
      <c r="H110" s="122"/>
      <c r="I110" s="123">
        <v>57835.75</v>
      </c>
      <c r="J110" s="124">
        <f>SUM(J111:J114)</f>
        <v>72298.06</v>
      </c>
    </row>
    <row r="111" spans="1:10" ht="27" customHeight="1">
      <c r="A111" s="125" t="s">
        <v>176</v>
      </c>
      <c r="B111" s="126">
        <v>97083</v>
      </c>
      <c r="C111" s="127" t="s">
        <v>177</v>
      </c>
      <c r="D111" s="126" t="s">
        <v>12</v>
      </c>
      <c r="E111" s="126" t="s">
        <v>13</v>
      </c>
      <c r="F111" s="128">
        <v>783.72</v>
      </c>
      <c r="G111" s="129">
        <v>3.13</v>
      </c>
      <c r="H111" s="129">
        <f t="shared" ref="H111:H119" ca="1" si="8">(G111*I$5)+G111</f>
        <v>3.9124999999999996</v>
      </c>
      <c r="I111" s="130" t="s">
        <v>1219</v>
      </c>
      <c r="J111" s="131">
        <v>3064.35</v>
      </c>
    </row>
    <row r="112" spans="1:10" ht="31.2" customHeight="1">
      <c r="A112" s="125" t="s">
        <v>178</v>
      </c>
      <c r="B112" s="126">
        <v>96622</v>
      </c>
      <c r="C112" s="127" t="s">
        <v>179</v>
      </c>
      <c r="D112" s="126" t="s">
        <v>12</v>
      </c>
      <c r="E112" s="126" t="s">
        <v>46</v>
      </c>
      <c r="F112" s="128">
        <v>39.19</v>
      </c>
      <c r="G112" s="129">
        <v>245.31</v>
      </c>
      <c r="H112" s="129">
        <f t="shared" ca="1" si="8"/>
        <v>306.63749999999999</v>
      </c>
      <c r="I112" s="130" t="s">
        <v>1220</v>
      </c>
      <c r="J112" s="131">
        <v>12017.22</v>
      </c>
    </row>
    <row r="113" spans="1:10" ht="30.6" customHeight="1">
      <c r="A113" s="125" t="s">
        <v>180</v>
      </c>
      <c r="B113" s="126">
        <v>97087</v>
      </c>
      <c r="C113" s="127" t="s">
        <v>181</v>
      </c>
      <c r="D113" s="126" t="s">
        <v>12</v>
      </c>
      <c r="E113" s="126" t="s">
        <v>13</v>
      </c>
      <c r="F113" s="128">
        <v>783.72</v>
      </c>
      <c r="G113" s="129">
        <v>2.5</v>
      </c>
      <c r="H113" s="129">
        <f t="shared" ca="1" si="8"/>
        <v>3.125</v>
      </c>
      <c r="I113" s="130" t="s">
        <v>1221</v>
      </c>
      <c r="J113" s="131">
        <v>2453.04</v>
      </c>
    </row>
    <row r="114" spans="1:10" ht="28.8" customHeight="1">
      <c r="A114" s="125" t="s">
        <v>182</v>
      </c>
      <c r="B114" s="126">
        <v>94991</v>
      </c>
      <c r="C114" s="127" t="s">
        <v>183</v>
      </c>
      <c r="D114" s="126" t="s">
        <v>12</v>
      </c>
      <c r="E114" s="126" t="s">
        <v>46</v>
      </c>
      <c r="F114" s="128">
        <v>54.86</v>
      </c>
      <c r="G114" s="129">
        <v>798.59</v>
      </c>
      <c r="H114" s="129">
        <f t="shared" ca="1" si="8"/>
        <v>998.23750000000007</v>
      </c>
      <c r="I114" s="130" t="s">
        <v>1222</v>
      </c>
      <c r="J114" s="131">
        <v>54763.45</v>
      </c>
    </row>
    <row r="115" spans="1:10" ht="20.100000000000001" customHeight="1">
      <c r="A115" s="122" t="s">
        <v>184</v>
      </c>
      <c r="B115" s="141" t="s">
        <v>185</v>
      </c>
      <c r="C115" s="141"/>
      <c r="D115" s="141"/>
      <c r="E115" s="141"/>
      <c r="F115" s="141"/>
      <c r="G115" s="141"/>
      <c r="H115" s="122"/>
      <c r="I115" s="123">
        <v>18806.310000000001</v>
      </c>
      <c r="J115" s="124">
        <f>SUM(J116:J119)</f>
        <v>23508.98</v>
      </c>
    </row>
    <row r="116" spans="1:10" ht="30" customHeight="1">
      <c r="A116" s="125" t="s">
        <v>186</v>
      </c>
      <c r="B116" s="126">
        <v>97083</v>
      </c>
      <c r="C116" s="127" t="s">
        <v>177</v>
      </c>
      <c r="D116" s="126" t="s">
        <v>12</v>
      </c>
      <c r="E116" s="126" t="s">
        <v>13</v>
      </c>
      <c r="F116" s="128">
        <v>254.8</v>
      </c>
      <c r="G116" s="129">
        <v>3.13</v>
      </c>
      <c r="H116" s="129">
        <f t="shared" ca="1" si="8"/>
        <v>3.9124999999999996</v>
      </c>
      <c r="I116" s="130" t="s">
        <v>1223</v>
      </c>
      <c r="J116" s="131">
        <v>996.27</v>
      </c>
    </row>
    <row r="117" spans="1:10" ht="33.6" customHeight="1">
      <c r="A117" s="125" t="s">
        <v>187</v>
      </c>
      <c r="B117" s="126">
        <v>96622</v>
      </c>
      <c r="C117" s="127" t="s">
        <v>179</v>
      </c>
      <c r="D117" s="126" t="s">
        <v>12</v>
      </c>
      <c r="E117" s="126" t="s">
        <v>46</v>
      </c>
      <c r="F117" s="128">
        <v>12.74</v>
      </c>
      <c r="G117" s="129">
        <v>245.31</v>
      </c>
      <c r="H117" s="129">
        <f t="shared" ca="1" si="8"/>
        <v>306.63749999999999</v>
      </c>
      <c r="I117" s="130" t="s">
        <v>1224</v>
      </c>
      <c r="J117" s="131">
        <v>3906.59</v>
      </c>
    </row>
    <row r="118" spans="1:10" ht="29.4" customHeight="1">
      <c r="A118" s="125" t="s">
        <v>188</v>
      </c>
      <c r="B118" s="126">
        <v>97087</v>
      </c>
      <c r="C118" s="127" t="s">
        <v>181</v>
      </c>
      <c r="D118" s="126" t="s">
        <v>12</v>
      </c>
      <c r="E118" s="126" t="s">
        <v>13</v>
      </c>
      <c r="F118" s="128">
        <v>254.8</v>
      </c>
      <c r="G118" s="129">
        <v>2.5</v>
      </c>
      <c r="H118" s="129">
        <f t="shared" ca="1" si="8"/>
        <v>3.125</v>
      </c>
      <c r="I118" s="130" t="s">
        <v>1225</v>
      </c>
      <c r="J118" s="131">
        <v>797.52</v>
      </c>
    </row>
    <row r="119" spans="1:10" ht="30.6" customHeight="1">
      <c r="A119" s="125" t="s">
        <v>189</v>
      </c>
      <c r="B119" s="126">
        <v>94991</v>
      </c>
      <c r="C119" s="127" t="s">
        <v>183</v>
      </c>
      <c r="D119" s="126" t="s">
        <v>12</v>
      </c>
      <c r="E119" s="126" t="s">
        <v>46</v>
      </c>
      <c r="F119" s="128">
        <v>17.84</v>
      </c>
      <c r="G119" s="129">
        <v>798.59</v>
      </c>
      <c r="H119" s="129">
        <f t="shared" ca="1" si="8"/>
        <v>998.23750000000007</v>
      </c>
      <c r="I119" s="130" t="s">
        <v>1226</v>
      </c>
      <c r="J119" s="131">
        <v>17808.599999999999</v>
      </c>
    </row>
    <row r="120" spans="1:10" ht="20.100000000000001" customHeight="1">
      <c r="A120" s="122">
        <v>5</v>
      </c>
      <c r="B120" s="141" t="s">
        <v>190</v>
      </c>
      <c r="C120" s="141"/>
      <c r="D120" s="141"/>
      <c r="E120" s="141"/>
      <c r="F120" s="141"/>
      <c r="G120" s="141"/>
      <c r="H120" s="122"/>
      <c r="I120" s="123">
        <v>182881.05</v>
      </c>
      <c r="J120" s="124">
        <f>SUM(J121,J123,J129,J131)</f>
        <v>228640.08</v>
      </c>
    </row>
    <row r="121" spans="1:10" ht="20.100000000000001" customHeight="1">
      <c r="A121" s="122" t="s">
        <v>191</v>
      </c>
      <c r="B121" s="141" t="s">
        <v>192</v>
      </c>
      <c r="C121" s="141"/>
      <c r="D121" s="141"/>
      <c r="E121" s="141"/>
      <c r="F121" s="141"/>
      <c r="G121" s="141"/>
      <c r="H121" s="122"/>
      <c r="I121" s="123">
        <v>1364.33</v>
      </c>
      <c r="J121" s="124">
        <f>SUM(J122)</f>
        <v>1705.5</v>
      </c>
    </row>
    <row r="122" spans="1:10" ht="35.4" customHeight="1">
      <c r="A122" s="125" t="s">
        <v>193</v>
      </c>
      <c r="B122" s="126">
        <v>101161</v>
      </c>
      <c r="C122" s="127" t="s">
        <v>194</v>
      </c>
      <c r="D122" s="126" t="s">
        <v>12</v>
      </c>
      <c r="E122" s="126" t="s">
        <v>13</v>
      </c>
      <c r="F122" s="128">
        <v>6.1</v>
      </c>
      <c r="G122" s="129">
        <v>223.67</v>
      </c>
      <c r="H122" s="129">
        <f t="shared" ref="H122:H134" ca="1" si="9">(G122*I$5)+G122</f>
        <v>279.58749999999998</v>
      </c>
      <c r="I122" s="130" t="s">
        <v>1227</v>
      </c>
      <c r="J122" s="131">
        <v>1705.5</v>
      </c>
    </row>
    <row r="123" spans="1:10" ht="20.100000000000001" customHeight="1">
      <c r="A123" s="122" t="s">
        <v>195</v>
      </c>
      <c r="B123" s="141" t="s">
        <v>196</v>
      </c>
      <c r="C123" s="141"/>
      <c r="D123" s="141"/>
      <c r="E123" s="141"/>
      <c r="F123" s="141"/>
      <c r="G123" s="141"/>
      <c r="H123" s="122"/>
      <c r="I123" s="123">
        <v>168951.54</v>
      </c>
      <c r="J123" s="124">
        <f>SUM(J124:J128)</f>
        <v>211226.81999999998</v>
      </c>
    </row>
    <row r="124" spans="1:10" ht="34.200000000000003">
      <c r="A124" s="125" t="s">
        <v>197</v>
      </c>
      <c r="B124" s="126">
        <v>103322</v>
      </c>
      <c r="C124" s="127" t="s">
        <v>198</v>
      </c>
      <c r="D124" s="126" t="s">
        <v>12</v>
      </c>
      <c r="E124" s="126" t="s">
        <v>13</v>
      </c>
      <c r="F124" s="128">
        <v>572.77</v>
      </c>
      <c r="G124" s="129">
        <v>55.94</v>
      </c>
      <c r="H124" s="129">
        <f t="shared" ca="1" si="9"/>
        <v>69.924999999999997</v>
      </c>
      <c r="I124" s="130" t="s">
        <v>1228</v>
      </c>
      <c r="J124" s="131">
        <v>40053.81</v>
      </c>
    </row>
    <row r="125" spans="1:10" ht="34.200000000000003">
      <c r="A125" s="125" t="s">
        <v>199</v>
      </c>
      <c r="B125" s="126">
        <v>103328</v>
      </c>
      <c r="C125" s="127" t="s">
        <v>200</v>
      </c>
      <c r="D125" s="126" t="s">
        <v>12</v>
      </c>
      <c r="E125" s="126" t="s">
        <v>13</v>
      </c>
      <c r="F125" s="128">
        <v>1038</v>
      </c>
      <c r="G125" s="129">
        <v>87.86</v>
      </c>
      <c r="H125" s="129">
        <f t="shared" ca="1" si="9"/>
        <v>109.825</v>
      </c>
      <c r="I125" s="130" t="s">
        <v>1229</v>
      </c>
      <c r="J125" s="131">
        <v>114003.54</v>
      </c>
    </row>
    <row r="126" spans="1:10" ht="34.200000000000003">
      <c r="A126" s="125" t="s">
        <v>201</v>
      </c>
      <c r="B126" s="126">
        <v>103324</v>
      </c>
      <c r="C126" s="127" t="s">
        <v>202</v>
      </c>
      <c r="D126" s="126" t="s">
        <v>12</v>
      </c>
      <c r="E126" s="126" t="s">
        <v>13</v>
      </c>
      <c r="F126" s="128">
        <v>564.11</v>
      </c>
      <c r="G126" s="129">
        <v>75.099999999999994</v>
      </c>
      <c r="H126" s="129">
        <f t="shared" ca="1" si="9"/>
        <v>93.875</v>
      </c>
      <c r="I126" s="130" t="s">
        <v>1230</v>
      </c>
      <c r="J126" s="131">
        <v>52958.65</v>
      </c>
    </row>
    <row r="127" spans="1:10" ht="33" customHeight="1">
      <c r="A127" s="125" t="s">
        <v>203</v>
      </c>
      <c r="B127" s="126">
        <v>101159</v>
      </c>
      <c r="C127" s="127" t="s">
        <v>204</v>
      </c>
      <c r="D127" s="126" t="s">
        <v>12</v>
      </c>
      <c r="E127" s="126" t="s">
        <v>13</v>
      </c>
      <c r="F127" s="128">
        <v>9.7200000000000006</v>
      </c>
      <c r="G127" s="129">
        <v>135.88</v>
      </c>
      <c r="H127" s="129">
        <f t="shared" ca="1" si="9"/>
        <v>169.85</v>
      </c>
      <c r="I127" s="130" t="s">
        <v>1231</v>
      </c>
      <c r="J127" s="131">
        <v>1650.94</v>
      </c>
    </row>
    <row r="128" spans="1:10" ht="31.8" customHeight="1">
      <c r="A128" s="125" t="s">
        <v>205</v>
      </c>
      <c r="B128" s="126">
        <v>93201</v>
      </c>
      <c r="C128" s="127" t="s">
        <v>206</v>
      </c>
      <c r="D128" s="126" t="s">
        <v>12</v>
      </c>
      <c r="E128" s="126" t="s">
        <v>25</v>
      </c>
      <c r="F128" s="128">
        <v>311.8</v>
      </c>
      <c r="G128" s="129">
        <v>6.57</v>
      </c>
      <c r="H128" s="129">
        <f t="shared" ca="1" si="9"/>
        <v>8.2125000000000004</v>
      </c>
      <c r="I128" s="130" t="s">
        <v>1232</v>
      </c>
      <c r="J128" s="131">
        <v>2559.88</v>
      </c>
    </row>
    <row r="129" spans="1:10" ht="20.100000000000001" customHeight="1">
      <c r="A129" s="122" t="s">
        <v>207</v>
      </c>
      <c r="B129" s="141" t="s">
        <v>208</v>
      </c>
      <c r="C129" s="141"/>
      <c r="D129" s="141"/>
      <c r="E129" s="141"/>
      <c r="F129" s="141"/>
      <c r="G129" s="141"/>
      <c r="H129" s="122"/>
      <c r="I129" s="123">
        <v>4726.92</v>
      </c>
      <c r="J129" s="124">
        <f>SUM(J130)</f>
        <v>5909.75</v>
      </c>
    </row>
    <row r="130" spans="1:10" ht="34.200000000000003">
      <c r="A130" s="125" t="s">
        <v>209</v>
      </c>
      <c r="B130" s="126">
        <v>103324</v>
      </c>
      <c r="C130" s="127" t="s">
        <v>202</v>
      </c>
      <c r="D130" s="126" t="s">
        <v>12</v>
      </c>
      <c r="E130" s="126" t="s">
        <v>13</v>
      </c>
      <c r="F130" s="128">
        <v>62.95</v>
      </c>
      <c r="G130" s="129">
        <v>75.099999999999994</v>
      </c>
      <c r="H130" s="129">
        <f t="shared" ca="1" si="9"/>
        <v>93.875</v>
      </c>
      <c r="I130" s="130" t="s">
        <v>1233</v>
      </c>
      <c r="J130" s="131">
        <v>5909.75</v>
      </c>
    </row>
    <row r="131" spans="1:10" ht="20.100000000000001" customHeight="1">
      <c r="A131" s="122" t="s">
        <v>210</v>
      </c>
      <c r="B131" s="141" t="s">
        <v>211</v>
      </c>
      <c r="C131" s="141"/>
      <c r="D131" s="141"/>
      <c r="E131" s="141"/>
      <c r="F131" s="141"/>
      <c r="G131" s="141"/>
      <c r="H131" s="122"/>
      <c r="I131" s="123">
        <v>7838.26</v>
      </c>
      <c r="J131" s="124">
        <f>SUM(J132:J134)</f>
        <v>9798.01</v>
      </c>
    </row>
    <row r="132" spans="1:10" ht="34.200000000000003" customHeight="1">
      <c r="A132" s="125" t="s">
        <v>212</v>
      </c>
      <c r="B132" s="126">
        <v>102253</v>
      </c>
      <c r="C132" s="127" t="s">
        <v>213</v>
      </c>
      <c r="D132" s="126" t="s">
        <v>12</v>
      </c>
      <c r="E132" s="126" t="s">
        <v>13</v>
      </c>
      <c r="F132" s="128">
        <v>8.06</v>
      </c>
      <c r="G132" s="129">
        <v>660.73</v>
      </c>
      <c r="H132" s="129">
        <f t="shared" ca="1" si="9"/>
        <v>825.91250000000002</v>
      </c>
      <c r="I132" s="130" t="s">
        <v>1234</v>
      </c>
      <c r="J132" s="131">
        <v>6656.83</v>
      </c>
    </row>
    <row r="133" spans="1:10" ht="22.8" customHeight="1">
      <c r="A133" s="125" t="s">
        <v>214</v>
      </c>
      <c r="B133" s="126" t="s">
        <v>215</v>
      </c>
      <c r="C133" s="127" t="s">
        <v>216</v>
      </c>
      <c r="D133" s="126" t="s">
        <v>22</v>
      </c>
      <c r="E133" s="126" t="s">
        <v>13</v>
      </c>
      <c r="F133" s="128">
        <v>7.2</v>
      </c>
      <c r="G133" s="129">
        <v>318.17</v>
      </c>
      <c r="H133" s="129">
        <f t="shared" ca="1" si="9"/>
        <v>397.71250000000003</v>
      </c>
      <c r="I133" s="130" t="s">
        <v>1235</v>
      </c>
      <c r="J133" s="131">
        <v>2863.51</v>
      </c>
    </row>
    <row r="134" spans="1:10" ht="28.8" customHeight="1">
      <c r="A134" s="125" t="s">
        <v>217</v>
      </c>
      <c r="B134" s="126">
        <v>96370</v>
      </c>
      <c r="C134" s="127" t="s">
        <v>218</v>
      </c>
      <c r="D134" s="126" t="s">
        <v>12</v>
      </c>
      <c r="E134" s="126" t="s">
        <v>13</v>
      </c>
      <c r="F134" s="128">
        <v>3.6</v>
      </c>
      <c r="G134" s="129">
        <v>61.7</v>
      </c>
      <c r="H134" s="129">
        <f t="shared" ca="1" si="9"/>
        <v>77.125</v>
      </c>
      <c r="I134" s="130" t="s">
        <v>1236</v>
      </c>
      <c r="J134" s="131">
        <v>277.67</v>
      </c>
    </row>
    <row r="135" spans="1:10" ht="20.100000000000001" customHeight="1">
      <c r="A135" s="122">
        <v>6</v>
      </c>
      <c r="B135" s="141" t="s">
        <v>219</v>
      </c>
      <c r="C135" s="141"/>
      <c r="D135" s="141"/>
      <c r="E135" s="141"/>
      <c r="F135" s="141"/>
      <c r="G135" s="141"/>
      <c r="H135" s="122"/>
      <c r="I135" s="123">
        <v>252726.91</v>
      </c>
      <c r="J135" s="124">
        <f ca="1">SUM(J136,J144,J148,J154,J170,J172)</f>
        <v>315909.28200000001</v>
      </c>
    </row>
    <row r="136" spans="1:10" ht="20.100000000000001" customHeight="1">
      <c r="A136" s="122" t="s">
        <v>220</v>
      </c>
      <c r="B136" s="141" t="s">
        <v>221</v>
      </c>
      <c r="C136" s="141"/>
      <c r="D136" s="141"/>
      <c r="E136" s="141"/>
      <c r="F136" s="141"/>
      <c r="G136" s="141"/>
      <c r="H136" s="122"/>
      <c r="I136" s="123">
        <v>34377.699999999997</v>
      </c>
      <c r="J136" s="124">
        <f ca="1">SUM(J137:J143)</f>
        <v>42972.095000000008</v>
      </c>
    </row>
    <row r="137" spans="1:10" ht="40.200000000000003" customHeight="1">
      <c r="A137" s="125" t="s">
        <v>222</v>
      </c>
      <c r="B137" s="126" t="s">
        <v>223</v>
      </c>
      <c r="C137" s="127" t="s">
        <v>224</v>
      </c>
      <c r="D137" s="126" t="s">
        <v>22</v>
      </c>
      <c r="E137" s="126" t="s">
        <v>18</v>
      </c>
      <c r="F137" s="128">
        <v>6</v>
      </c>
      <c r="G137" s="129">
        <v>987.08</v>
      </c>
      <c r="H137" s="129">
        <f t="shared" ref="H137:H189" ca="1" si="10">(G137*I$5)+G137</f>
        <v>1233.8500000000001</v>
      </c>
      <c r="I137" s="130" t="s">
        <v>1237</v>
      </c>
      <c r="J137" s="131">
        <f t="shared" ref="J137:J143" ca="1" si="11">H137*F137</f>
        <v>7403.1</v>
      </c>
    </row>
    <row r="138" spans="1:10" ht="40.200000000000003" customHeight="1">
      <c r="A138" s="125" t="s">
        <v>225</v>
      </c>
      <c r="B138" s="126" t="s">
        <v>226</v>
      </c>
      <c r="C138" s="127" t="s">
        <v>227</v>
      </c>
      <c r="D138" s="126" t="s">
        <v>22</v>
      </c>
      <c r="E138" s="126" t="s">
        <v>18</v>
      </c>
      <c r="F138" s="128">
        <v>3</v>
      </c>
      <c r="G138" s="129">
        <v>1799.16</v>
      </c>
      <c r="H138" s="129">
        <f t="shared" ca="1" si="10"/>
        <v>2248.9500000000003</v>
      </c>
      <c r="I138" s="130" t="s">
        <v>1238</v>
      </c>
      <c r="J138" s="131">
        <f t="shared" ca="1" si="11"/>
        <v>6746.85</v>
      </c>
    </row>
    <row r="139" spans="1:10" ht="41.4" customHeight="1">
      <c r="A139" s="125" t="s">
        <v>228</v>
      </c>
      <c r="B139" s="126" t="s">
        <v>229</v>
      </c>
      <c r="C139" s="127" t="s">
        <v>230</v>
      </c>
      <c r="D139" s="126" t="s">
        <v>22</v>
      </c>
      <c r="E139" s="126" t="s">
        <v>18</v>
      </c>
      <c r="F139" s="128">
        <v>6</v>
      </c>
      <c r="G139" s="129">
        <v>1079.97</v>
      </c>
      <c r="H139" s="129">
        <f t="shared" ca="1" si="10"/>
        <v>1349.9625000000001</v>
      </c>
      <c r="I139" s="130" t="s">
        <v>1239</v>
      </c>
      <c r="J139" s="131">
        <v>8099.76</v>
      </c>
    </row>
    <row r="140" spans="1:10" ht="42" customHeight="1">
      <c r="A140" s="125" t="s">
        <v>231</v>
      </c>
      <c r="B140" s="126" t="s">
        <v>232</v>
      </c>
      <c r="C140" s="127" t="s">
        <v>233</v>
      </c>
      <c r="D140" s="126" t="s">
        <v>22</v>
      </c>
      <c r="E140" s="126" t="s">
        <v>18</v>
      </c>
      <c r="F140" s="128">
        <v>3</v>
      </c>
      <c r="G140" s="129">
        <v>1079.97</v>
      </c>
      <c r="H140" s="129">
        <f t="shared" ca="1" si="10"/>
        <v>1349.9625000000001</v>
      </c>
      <c r="I140" s="130" t="s">
        <v>1240</v>
      </c>
      <c r="J140" s="131">
        <v>4049.88</v>
      </c>
    </row>
    <row r="141" spans="1:10" ht="42" customHeight="1">
      <c r="A141" s="125" t="s">
        <v>234</v>
      </c>
      <c r="B141" s="126" t="s">
        <v>235</v>
      </c>
      <c r="C141" s="127" t="s">
        <v>236</v>
      </c>
      <c r="D141" s="126" t="s">
        <v>22</v>
      </c>
      <c r="E141" s="126" t="s">
        <v>18</v>
      </c>
      <c r="F141" s="128">
        <v>5</v>
      </c>
      <c r="G141" s="129">
        <v>1799.16</v>
      </c>
      <c r="H141" s="129">
        <f t="shared" ca="1" si="10"/>
        <v>2248.9500000000003</v>
      </c>
      <c r="I141" s="130" t="s">
        <v>1241</v>
      </c>
      <c r="J141" s="131">
        <f t="shared" ca="1" si="11"/>
        <v>11244.750000000002</v>
      </c>
    </row>
    <row r="142" spans="1:10" ht="26.4" customHeight="1">
      <c r="A142" s="125" t="s">
        <v>237</v>
      </c>
      <c r="B142" s="126" t="s">
        <v>238</v>
      </c>
      <c r="C142" s="127" t="s">
        <v>239</v>
      </c>
      <c r="D142" s="126" t="s">
        <v>22</v>
      </c>
      <c r="E142" s="126" t="s">
        <v>18</v>
      </c>
      <c r="F142" s="128">
        <v>4</v>
      </c>
      <c r="G142" s="129">
        <v>996.57</v>
      </c>
      <c r="H142" s="129">
        <f t="shared" ca="1" si="10"/>
        <v>1245.7125000000001</v>
      </c>
      <c r="I142" s="130" t="s">
        <v>1242</v>
      </c>
      <c r="J142" s="131">
        <v>4982.84</v>
      </c>
    </row>
    <row r="143" spans="1:10" ht="27.6" customHeight="1">
      <c r="A143" s="125" t="s">
        <v>240</v>
      </c>
      <c r="B143" s="126" t="s">
        <v>241</v>
      </c>
      <c r="C143" s="127" t="s">
        <v>242</v>
      </c>
      <c r="D143" s="126" t="s">
        <v>22</v>
      </c>
      <c r="E143" s="126" t="s">
        <v>13</v>
      </c>
      <c r="F143" s="128">
        <v>1.8</v>
      </c>
      <c r="G143" s="129">
        <v>197.74</v>
      </c>
      <c r="H143" s="129">
        <f t="shared" ca="1" si="10"/>
        <v>247.17500000000001</v>
      </c>
      <c r="I143" s="130" t="s">
        <v>1243</v>
      </c>
      <c r="J143" s="131">
        <f t="shared" ca="1" si="11"/>
        <v>444.91500000000002</v>
      </c>
    </row>
    <row r="144" spans="1:10" ht="20.100000000000001" customHeight="1">
      <c r="A144" s="122" t="s">
        <v>243</v>
      </c>
      <c r="B144" s="141" t="s">
        <v>244</v>
      </c>
      <c r="C144" s="141"/>
      <c r="D144" s="141"/>
      <c r="E144" s="141"/>
      <c r="F144" s="141"/>
      <c r="G144" s="141"/>
      <c r="H144" s="122"/>
      <c r="I144" s="123">
        <v>5597.41</v>
      </c>
      <c r="J144" s="124">
        <f>SUM(J145:J147)</f>
        <v>6996.98</v>
      </c>
    </row>
    <row r="145" spans="1:10">
      <c r="A145" s="125" t="s">
        <v>245</v>
      </c>
      <c r="B145" s="126">
        <v>100705</v>
      </c>
      <c r="C145" s="127" t="s">
        <v>246</v>
      </c>
      <c r="D145" s="126" t="s">
        <v>12</v>
      </c>
      <c r="E145" s="126" t="s">
        <v>18</v>
      </c>
      <c r="F145" s="128">
        <v>4</v>
      </c>
      <c r="G145" s="129">
        <v>84.5</v>
      </c>
      <c r="H145" s="129">
        <f t="shared" ca="1" si="10"/>
        <v>105.625</v>
      </c>
      <c r="I145" s="130" t="s">
        <v>1244</v>
      </c>
      <c r="J145" s="131">
        <v>422.52</v>
      </c>
    </row>
    <row r="146" spans="1:10" ht="22.8">
      <c r="A146" s="125" t="s">
        <v>247</v>
      </c>
      <c r="B146" s="126">
        <v>100866</v>
      </c>
      <c r="C146" s="127" t="s">
        <v>248</v>
      </c>
      <c r="D146" s="126" t="s">
        <v>12</v>
      </c>
      <c r="E146" s="126" t="s">
        <v>18</v>
      </c>
      <c r="F146" s="128">
        <v>8</v>
      </c>
      <c r="G146" s="129">
        <v>353.02</v>
      </c>
      <c r="H146" s="129">
        <f t="shared" ca="1" si="10"/>
        <v>441.27499999999998</v>
      </c>
      <c r="I146" s="130" t="s">
        <v>1245</v>
      </c>
      <c r="J146" s="131">
        <v>3530.24</v>
      </c>
    </row>
    <row r="147" spans="1:10">
      <c r="A147" s="125" t="s">
        <v>249</v>
      </c>
      <c r="B147" s="126" t="s">
        <v>250</v>
      </c>
      <c r="C147" s="127" t="s">
        <v>251</v>
      </c>
      <c r="D147" s="126" t="s">
        <v>22</v>
      </c>
      <c r="E147" s="126" t="s">
        <v>252</v>
      </c>
      <c r="F147" s="128">
        <v>12.8</v>
      </c>
      <c r="G147" s="129">
        <v>190.26</v>
      </c>
      <c r="H147" s="129">
        <f t="shared" ca="1" si="10"/>
        <v>237.82499999999999</v>
      </c>
      <c r="I147" s="130" t="s">
        <v>1246</v>
      </c>
      <c r="J147" s="131">
        <v>3044.22</v>
      </c>
    </row>
    <row r="148" spans="1:10" ht="20.100000000000001" customHeight="1">
      <c r="A148" s="122" t="s">
        <v>253</v>
      </c>
      <c r="B148" s="141" t="s">
        <v>254</v>
      </c>
      <c r="C148" s="141"/>
      <c r="D148" s="141"/>
      <c r="E148" s="141"/>
      <c r="F148" s="141"/>
      <c r="G148" s="141"/>
      <c r="H148" s="122"/>
      <c r="I148" s="123">
        <v>44216.14</v>
      </c>
      <c r="J148" s="124">
        <f>SUM(J149:J153)</f>
        <v>55270.180000000008</v>
      </c>
    </row>
    <row r="149" spans="1:10" ht="30.6" customHeight="1">
      <c r="A149" s="125" t="s">
        <v>255</v>
      </c>
      <c r="B149" s="126" t="s">
        <v>256</v>
      </c>
      <c r="C149" s="127" t="s">
        <v>257</v>
      </c>
      <c r="D149" s="126" t="s">
        <v>22</v>
      </c>
      <c r="E149" s="126" t="s">
        <v>18</v>
      </c>
      <c r="F149" s="128">
        <v>1</v>
      </c>
      <c r="G149" s="129">
        <v>837.12</v>
      </c>
      <c r="H149" s="129">
        <f t="shared" ca="1" si="10"/>
        <v>1046.4000000000001</v>
      </c>
      <c r="I149" s="130" t="s">
        <v>1247</v>
      </c>
      <c r="J149" s="131">
        <v>1046.4000000000001</v>
      </c>
    </row>
    <row r="150" spans="1:10" ht="40.200000000000003" customHeight="1">
      <c r="A150" s="125" t="s">
        <v>258</v>
      </c>
      <c r="B150" s="126" t="s">
        <v>259</v>
      </c>
      <c r="C150" s="127" t="s">
        <v>260</v>
      </c>
      <c r="D150" s="126" t="s">
        <v>22</v>
      </c>
      <c r="E150" s="126" t="s">
        <v>13</v>
      </c>
      <c r="F150" s="128">
        <v>1.68</v>
      </c>
      <c r="G150" s="129">
        <v>646.07000000000005</v>
      </c>
      <c r="H150" s="129">
        <f t="shared" ca="1" si="10"/>
        <v>807.58750000000009</v>
      </c>
      <c r="I150" s="130" t="s">
        <v>1248</v>
      </c>
      <c r="J150" s="131">
        <v>1356.75</v>
      </c>
    </row>
    <row r="151" spans="1:10" ht="40.799999999999997" customHeight="1">
      <c r="A151" s="125" t="s">
        <v>261</v>
      </c>
      <c r="B151" s="126" t="s">
        <v>262</v>
      </c>
      <c r="C151" s="127" t="s">
        <v>263</v>
      </c>
      <c r="D151" s="126" t="s">
        <v>22</v>
      </c>
      <c r="E151" s="126" t="s">
        <v>13</v>
      </c>
      <c r="F151" s="128">
        <v>3.36</v>
      </c>
      <c r="G151" s="129">
        <v>646.07000000000005</v>
      </c>
      <c r="H151" s="129">
        <f t="shared" ca="1" si="10"/>
        <v>807.58750000000009</v>
      </c>
      <c r="I151" s="130" t="s">
        <v>1249</v>
      </c>
      <c r="J151" s="131">
        <v>2713.5</v>
      </c>
    </row>
    <row r="152" spans="1:10" ht="43.2" customHeight="1">
      <c r="A152" s="125" t="s">
        <v>264</v>
      </c>
      <c r="B152" s="126" t="s">
        <v>265</v>
      </c>
      <c r="C152" s="127" t="s">
        <v>266</v>
      </c>
      <c r="D152" s="126" t="s">
        <v>22</v>
      </c>
      <c r="E152" s="126" t="s">
        <v>13</v>
      </c>
      <c r="F152" s="128">
        <v>83.48</v>
      </c>
      <c r="G152" s="129">
        <v>464.84</v>
      </c>
      <c r="H152" s="129">
        <f t="shared" ca="1" si="10"/>
        <v>581.04999999999995</v>
      </c>
      <c r="I152" s="130" t="s">
        <v>1250</v>
      </c>
      <c r="J152" s="131">
        <v>48506.05</v>
      </c>
    </row>
    <row r="153" spans="1:10" ht="37.200000000000003" customHeight="1">
      <c r="A153" s="125" t="s">
        <v>267</v>
      </c>
      <c r="B153" s="126" t="s">
        <v>268</v>
      </c>
      <c r="C153" s="127" t="s">
        <v>269</v>
      </c>
      <c r="D153" s="126" t="s">
        <v>22</v>
      </c>
      <c r="E153" s="126" t="s">
        <v>13</v>
      </c>
      <c r="F153" s="128">
        <v>2.04</v>
      </c>
      <c r="G153" s="129">
        <v>646.07000000000005</v>
      </c>
      <c r="H153" s="129">
        <f t="shared" ca="1" si="10"/>
        <v>807.58750000000009</v>
      </c>
      <c r="I153" s="130" t="s">
        <v>1251</v>
      </c>
      <c r="J153" s="131">
        <v>1647.48</v>
      </c>
    </row>
    <row r="154" spans="1:10" ht="20.100000000000001" customHeight="1">
      <c r="A154" s="122" t="s">
        <v>270</v>
      </c>
      <c r="B154" s="141" t="s">
        <v>271</v>
      </c>
      <c r="C154" s="141"/>
      <c r="D154" s="141"/>
      <c r="E154" s="141"/>
      <c r="F154" s="141"/>
      <c r="G154" s="141"/>
      <c r="H154" s="122"/>
      <c r="I154" s="123">
        <v>45427.33</v>
      </c>
      <c r="J154" s="124">
        <f ca="1">SUM(J155:J169)</f>
        <v>56784.192000000003</v>
      </c>
    </row>
    <row r="155" spans="1:10" ht="42" customHeight="1">
      <c r="A155" s="125" t="s">
        <v>272</v>
      </c>
      <c r="B155" s="126" t="s">
        <v>273</v>
      </c>
      <c r="C155" s="127" t="s">
        <v>274</v>
      </c>
      <c r="D155" s="126" t="s">
        <v>22</v>
      </c>
      <c r="E155" s="126" t="s">
        <v>13</v>
      </c>
      <c r="F155" s="128">
        <v>0.88</v>
      </c>
      <c r="G155" s="129">
        <v>634.72</v>
      </c>
      <c r="H155" s="129">
        <f t="shared" ca="1" si="10"/>
        <v>793.40000000000009</v>
      </c>
      <c r="I155" s="130" t="s">
        <v>1252</v>
      </c>
      <c r="J155" s="131">
        <v>698.19</v>
      </c>
    </row>
    <row r="156" spans="1:10" ht="40.799999999999997" customHeight="1">
      <c r="A156" s="125" t="s">
        <v>275</v>
      </c>
      <c r="B156" s="126" t="s">
        <v>276</v>
      </c>
      <c r="C156" s="127" t="s">
        <v>277</v>
      </c>
      <c r="D156" s="126" t="s">
        <v>22</v>
      </c>
      <c r="E156" s="126" t="s">
        <v>13</v>
      </c>
      <c r="F156" s="128">
        <v>2.15</v>
      </c>
      <c r="G156" s="129">
        <v>634.72</v>
      </c>
      <c r="H156" s="129">
        <f t="shared" ca="1" si="10"/>
        <v>793.40000000000009</v>
      </c>
      <c r="I156" s="130" t="s">
        <v>1253</v>
      </c>
      <c r="J156" s="131">
        <f t="shared" ref="J156:J171" ca="1" si="12">H156*F156</f>
        <v>1705.8100000000002</v>
      </c>
    </row>
    <row r="157" spans="1:10" ht="39.6" customHeight="1">
      <c r="A157" s="125" t="s">
        <v>278</v>
      </c>
      <c r="B157" s="126" t="s">
        <v>279</v>
      </c>
      <c r="C157" s="127" t="s">
        <v>280</v>
      </c>
      <c r="D157" s="126" t="s">
        <v>22</v>
      </c>
      <c r="E157" s="126" t="s">
        <v>13</v>
      </c>
      <c r="F157" s="128">
        <v>1.61</v>
      </c>
      <c r="G157" s="129">
        <v>680.81</v>
      </c>
      <c r="H157" s="129">
        <f t="shared" ca="1" si="10"/>
        <v>851.01249999999993</v>
      </c>
      <c r="I157" s="130" t="s">
        <v>1254</v>
      </c>
      <c r="J157" s="131">
        <v>1370.13</v>
      </c>
    </row>
    <row r="158" spans="1:10" ht="34.200000000000003">
      <c r="A158" s="125" t="s">
        <v>281</v>
      </c>
      <c r="B158" s="126" t="s">
        <v>282</v>
      </c>
      <c r="C158" s="127" t="s">
        <v>283</v>
      </c>
      <c r="D158" s="126" t="s">
        <v>22</v>
      </c>
      <c r="E158" s="126" t="s">
        <v>13</v>
      </c>
      <c r="F158" s="128">
        <v>2.73</v>
      </c>
      <c r="G158" s="129">
        <v>634.72</v>
      </c>
      <c r="H158" s="129">
        <f t="shared" ca="1" si="10"/>
        <v>793.40000000000009</v>
      </c>
      <c r="I158" s="130" t="s">
        <v>1255</v>
      </c>
      <c r="J158" s="131">
        <f t="shared" ca="1" si="12"/>
        <v>2165.9820000000004</v>
      </c>
    </row>
    <row r="159" spans="1:10" ht="39.6" customHeight="1">
      <c r="A159" s="125" t="s">
        <v>284</v>
      </c>
      <c r="B159" s="126" t="s">
        <v>285</v>
      </c>
      <c r="C159" s="127" t="s">
        <v>286</v>
      </c>
      <c r="D159" s="126" t="s">
        <v>22</v>
      </c>
      <c r="E159" s="126" t="s">
        <v>13</v>
      </c>
      <c r="F159" s="128">
        <v>2.16</v>
      </c>
      <c r="G159" s="129">
        <v>680.81</v>
      </c>
      <c r="H159" s="129">
        <f t="shared" ca="1" si="10"/>
        <v>851.01249999999993</v>
      </c>
      <c r="I159" s="130" t="s">
        <v>1256</v>
      </c>
      <c r="J159" s="131">
        <v>1838.18</v>
      </c>
    </row>
    <row r="160" spans="1:10" ht="31.8" customHeight="1">
      <c r="A160" s="125" t="s">
        <v>287</v>
      </c>
      <c r="B160" s="126" t="s">
        <v>288</v>
      </c>
      <c r="C160" s="127" t="s">
        <v>289</v>
      </c>
      <c r="D160" s="126" t="s">
        <v>22</v>
      </c>
      <c r="E160" s="126" t="s">
        <v>13</v>
      </c>
      <c r="F160" s="128">
        <v>1.05</v>
      </c>
      <c r="G160" s="129">
        <v>634.72</v>
      </c>
      <c r="H160" s="129">
        <f t="shared" ca="1" si="10"/>
        <v>793.40000000000009</v>
      </c>
      <c r="I160" s="130" t="s">
        <v>1257</v>
      </c>
      <c r="J160" s="131">
        <v>833.07</v>
      </c>
    </row>
    <row r="161" spans="1:10" ht="28.8" customHeight="1">
      <c r="A161" s="125" t="s">
        <v>290</v>
      </c>
      <c r="B161" s="126" t="s">
        <v>291</v>
      </c>
      <c r="C161" s="127" t="s">
        <v>292</v>
      </c>
      <c r="D161" s="126" t="s">
        <v>22</v>
      </c>
      <c r="E161" s="126" t="s">
        <v>13</v>
      </c>
      <c r="F161" s="128">
        <v>12.6</v>
      </c>
      <c r="G161" s="129">
        <v>634.72</v>
      </c>
      <c r="H161" s="129">
        <f t="shared" ca="1" si="10"/>
        <v>793.40000000000009</v>
      </c>
      <c r="I161" s="130" t="s">
        <v>1258</v>
      </c>
      <c r="J161" s="131">
        <v>9996.84</v>
      </c>
    </row>
    <row r="162" spans="1:10" ht="29.4" customHeight="1">
      <c r="A162" s="125" t="s">
        <v>293</v>
      </c>
      <c r="B162" s="126" t="s">
        <v>294</v>
      </c>
      <c r="C162" s="127" t="s">
        <v>295</v>
      </c>
      <c r="D162" s="126" t="s">
        <v>22</v>
      </c>
      <c r="E162" s="126" t="s">
        <v>13</v>
      </c>
      <c r="F162" s="128">
        <v>8.4</v>
      </c>
      <c r="G162" s="129">
        <v>634.72</v>
      </c>
      <c r="H162" s="129">
        <f t="shared" ca="1" si="10"/>
        <v>793.40000000000009</v>
      </c>
      <c r="I162" s="130" t="s">
        <v>1259</v>
      </c>
      <c r="J162" s="131">
        <f t="shared" ca="1" si="12"/>
        <v>6664.5600000000013</v>
      </c>
    </row>
    <row r="163" spans="1:10" ht="30" customHeight="1">
      <c r="A163" s="125" t="s">
        <v>296</v>
      </c>
      <c r="B163" s="126" t="s">
        <v>297</v>
      </c>
      <c r="C163" s="127" t="s">
        <v>298</v>
      </c>
      <c r="D163" s="126" t="s">
        <v>22</v>
      </c>
      <c r="E163" s="126" t="s">
        <v>13</v>
      </c>
      <c r="F163" s="128">
        <v>6.3</v>
      </c>
      <c r="G163" s="129">
        <v>634.72</v>
      </c>
      <c r="H163" s="129">
        <f t="shared" ca="1" si="10"/>
        <v>793.40000000000009</v>
      </c>
      <c r="I163" s="130" t="s">
        <v>1260</v>
      </c>
      <c r="J163" s="131">
        <f t="shared" ca="1" si="12"/>
        <v>4998.42</v>
      </c>
    </row>
    <row r="164" spans="1:10" ht="29.4" customHeight="1">
      <c r="A164" s="125" t="s">
        <v>299</v>
      </c>
      <c r="B164" s="126" t="s">
        <v>300</v>
      </c>
      <c r="C164" s="127" t="s">
        <v>301</v>
      </c>
      <c r="D164" s="126" t="s">
        <v>22</v>
      </c>
      <c r="E164" s="126" t="s">
        <v>13</v>
      </c>
      <c r="F164" s="128">
        <v>1.05</v>
      </c>
      <c r="G164" s="129">
        <v>634.72</v>
      </c>
      <c r="H164" s="129">
        <f t="shared" ca="1" si="10"/>
        <v>793.40000000000009</v>
      </c>
      <c r="I164" s="130" t="s">
        <v>1257</v>
      </c>
      <c r="J164" s="131">
        <f t="shared" ca="1" si="12"/>
        <v>833.07000000000016</v>
      </c>
    </row>
    <row r="165" spans="1:10" ht="22.8">
      <c r="A165" s="125" t="s">
        <v>302</v>
      </c>
      <c r="B165" s="126" t="s">
        <v>303</v>
      </c>
      <c r="C165" s="127" t="s">
        <v>304</v>
      </c>
      <c r="D165" s="126" t="s">
        <v>22</v>
      </c>
      <c r="E165" s="126" t="s">
        <v>13</v>
      </c>
      <c r="F165" s="128">
        <v>5.25</v>
      </c>
      <c r="G165" s="129">
        <v>634.72</v>
      </c>
      <c r="H165" s="129">
        <f t="shared" ca="1" si="10"/>
        <v>793.40000000000009</v>
      </c>
      <c r="I165" s="130" t="s">
        <v>1261</v>
      </c>
      <c r="J165" s="131">
        <f t="shared" ca="1" si="12"/>
        <v>4165.3500000000004</v>
      </c>
    </row>
    <row r="166" spans="1:10" ht="22.8">
      <c r="A166" s="125" t="s">
        <v>305</v>
      </c>
      <c r="B166" s="126" t="s">
        <v>306</v>
      </c>
      <c r="C166" s="127" t="s">
        <v>307</v>
      </c>
      <c r="D166" s="126" t="s">
        <v>22</v>
      </c>
      <c r="E166" s="126" t="s">
        <v>13</v>
      </c>
      <c r="F166" s="128">
        <v>4.2</v>
      </c>
      <c r="G166" s="129">
        <v>634.72</v>
      </c>
      <c r="H166" s="129">
        <f t="shared" ca="1" si="10"/>
        <v>793.40000000000009</v>
      </c>
      <c r="I166" s="130" t="s">
        <v>1262</v>
      </c>
      <c r="J166" s="131">
        <v>3332.28</v>
      </c>
    </row>
    <row r="167" spans="1:10" ht="34.200000000000003">
      <c r="A167" s="125" t="s">
        <v>308</v>
      </c>
      <c r="B167" s="126" t="s">
        <v>309</v>
      </c>
      <c r="C167" s="127" t="s">
        <v>310</v>
      </c>
      <c r="D167" s="126" t="s">
        <v>22</v>
      </c>
      <c r="E167" s="126" t="s">
        <v>13</v>
      </c>
      <c r="F167" s="128">
        <v>16.8</v>
      </c>
      <c r="G167" s="129">
        <v>634.72</v>
      </c>
      <c r="H167" s="129">
        <f t="shared" ca="1" si="10"/>
        <v>793.40000000000009</v>
      </c>
      <c r="I167" s="130" t="s">
        <v>1263</v>
      </c>
      <c r="J167" s="131">
        <v>13329.12</v>
      </c>
    </row>
    <row r="168" spans="1:10" ht="34.200000000000003">
      <c r="A168" s="125" t="s">
        <v>311</v>
      </c>
      <c r="B168" s="126" t="s">
        <v>312</v>
      </c>
      <c r="C168" s="127" t="s">
        <v>313</v>
      </c>
      <c r="D168" s="126" t="s">
        <v>22</v>
      </c>
      <c r="E168" s="126" t="s">
        <v>13</v>
      </c>
      <c r="F168" s="128">
        <v>2.72</v>
      </c>
      <c r="G168" s="129">
        <v>680.81</v>
      </c>
      <c r="H168" s="129">
        <f t="shared" ca="1" si="10"/>
        <v>851.01249999999993</v>
      </c>
      <c r="I168" s="130" t="s">
        <v>1264</v>
      </c>
      <c r="J168" s="131">
        <v>2314.75</v>
      </c>
    </row>
    <row r="169" spans="1:10">
      <c r="A169" s="125" t="s">
        <v>314</v>
      </c>
      <c r="B169" s="126" t="s">
        <v>315</v>
      </c>
      <c r="C169" s="127" t="s">
        <v>316</v>
      </c>
      <c r="D169" s="126" t="s">
        <v>22</v>
      </c>
      <c r="E169" s="126" t="s">
        <v>13</v>
      </c>
      <c r="F169" s="128">
        <v>10.28</v>
      </c>
      <c r="G169" s="129">
        <v>197.54</v>
      </c>
      <c r="H169" s="129">
        <f t="shared" ca="1" si="10"/>
        <v>246.92499999999998</v>
      </c>
      <c r="I169" s="130" t="s">
        <v>1265</v>
      </c>
      <c r="J169" s="131">
        <v>2538.44</v>
      </c>
    </row>
    <row r="170" spans="1:10" ht="20.100000000000001" customHeight="1">
      <c r="A170" s="122" t="s">
        <v>317</v>
      </c>
      <c r="B170" s="141" t="s">
        <v>318</v>
      </c>
      <c r="C170" s="141"/>
      <c r="D170" s="141"/>
      <c r="E170" s="141"/>
      <c r="F170" s="141"/>
      <c r="G170" s="141"/>
      <c r="H170" s="122"/>
      <c r="I170" s="123">
        <v>691.38</v>
      </c>
      <c r="J170" s="124">
        <f ca="1">SUM(J171)</f>
        <v>864.22500000000002</v>
      </c>
    </row>
    <row r="171" spans="1:10" ht="22.8">
      <c r="A171" s="125" t="s">
        <v>319</v>
      </c>
      <c r="B171" s="126" t="s">
        <v>320</v>
      </c>
      <c r="C171" s="127" t="s">
        <v>321</v>
      </c>
      <c r="D171" s="126" t="s">
        <v>22</v>
      </c>
      <c r="E171" s="126" t="s">
        <v>13</v>
      </c>
      <c r="F171" s="128">
        <v>1</v>
      </c>
      <c r="G171" s="129">
        <v>691.38</v>
      </c>
      <c r="H171" s="129">
        <f t="shared" ca="1" si="10"/>
        <v>864.22500000000002</v>
      </c>
      <c r="I171" s="130" t="s">
        <v>1266</v>
      </c>
      <c r="J171" s="131">
        <f t="shared" ca="1" si="12"/>
        <v>864.22500000000002</v>
      </c>
    </row>
    <row r="172" spans="1:10" ht="20.100000000000001" customHeight="1">
      <c r="A172" s="122" t="s">
        <v>322</v>
      </c>
      <c r="B172" s="141" t="s">
        <v>323</v>
      </c>
      <c r="C172" s="141"/>
      <c r="D172" s="141"/>
      <c r="E172" s="141"/>
      <c r="F172" s="141"/>
      <c r="G172" s="141"/>
      <c r="H172" s="122"/>
      <c r="I172" s="123">
        <v>122416.95</v>
      </c>
      <c r="J172" s="124">
        <f>SUM(J173:J179)</f>
        <v>153021.61000000002</v>
      </c>
    </row>
    <row r="173" spans="1:10" ht="31.2" customHeight="1">
      <c r="A173" s="125" t="s">
        <v>324</v>
      </c>
      <c r="B173" s="126" t="s">
        <v>325</v>
      </c>
      <c r="C173" s="127" t="s">
        <v>326</v>
      </c>
      <c r="D173" s="126" t="s">
        <v>22</v>
      </c>
      <c r="E173" s="126" t="s">
        <v>13</v>
      </c>
      <c r="F173" s="128">
        <v>3.08</v>
      </c>
      <c r="G173" s="129">
        <v>712.59</v>
      </c>
      <c r="H173" s="129">
        <f t="shared" ca="1" si="10"/>
        <v>890.73750000000007</v>
      </c>
      <c r="I173" s="130" t="s">
        <v>1267</v>
      </c>
      <c r="J173" s="131">
        <v>2743.48</v>
      </c>
    </row>
    <row r="174" spans="1:10" ht="32.4" customHeight="1">
      <c r="A174" s="125" t="s">
        <v>327</v>
      </c>
      <c r="B174" s="126" t="s">
        <v>328</v>
      </c>
      <c r="C174" s="127" t="s">
        <v>329</v>
      </c>
      <c r="D174" s="126" t="s">
        <v>22</v>
      </c>
      <c r="E174" s="126" t="s">
        <v>13</v>
      </c>
      <c r="F174" s="128">
        <v>2.94</v>
      </c>
      <c r="G174" s="129">
        <v>705.55</v>
      </c>
      <c r="H174" s="129">
        <f t="shared" ca="1" si="10"/>
        <v>881.9375</v>
      </c>
      <c r="I174" s="130" t="s">
        <v>1268</v>
      </c>
      <c r="J174" s="131">
        <v>2592.9</v>
      </c>
    </row>
    <row r="175" spans="1:10" ht="19.2" customHeight="1">
      <c r="A175" s="125" t="s">
        <v>330</v>
      </c>
      <c r="B175" s="126" t="s">
        <v>331</v>
      </c>
      <c r="C175" s="127" t="s">
        <v>332</v>
      </c>
      <c r="D175" s="126" t="s">
        <v>22</v>
      </c>
      <c r="E175" s="126" t="s">
        <v>13</v>
      </c>
      <c r="F175" s="128">
        <v>116.76</v>
      </c>
      <c r="G175" s="129">
        <v>691.47</v>
      </c>
      <c r="H175" s="129">
        <f t="shared" ca="1" si="10"/>
        <v>864.33750000000009</v>
      </c>
      <c r="I175" s="130" t="s">
        <v>1269</v>
      </c>
      <c r="J175" s="131">
        <v>100920.34</v>
      </c>
    </row>
    <row r="176" spans="1:10" ht="20.399999999999999" customHeight="1">
      <c r="A176" s="125" t="s">
        <v>333</v>
      </c>
      <c r="B176" s="126" t="s">
        <v>334</v>
      </c>
      <c r="C176" s="127" t="s">
        <v>335</v>
      </c>
      <c r="D176" s="126" t="s">
        <v>22</v>
      </c>
      <c r="E176" s="126" t="s">
        <v>13</v>
      </c>
      <c r="F176" s="128">
        <v>71.89</v>
      </c>
      <c r="G176" s="129">
        <v>268.58999999999997</v>
      </c>
      <c r="H176" s="129">
        <f t="shared" ca="1" si="10"/>
        <v>335.73749999999995</v>
      </c>
      <c r="I176" s="130" t="s">
        <v>1270</v>
      </c>
      <c r="J176" s="131">
        <v>24136.35</v>
      </c>
    </row>
    <row r="177" spans="1:10" ht="41.4" customHeight="1">
      <c r="A177" s="125" t="s">
        <v>336</v>
      </c>
      <c r="B177" s="126" t="s">
        <v>337</v>
      </c>
      <c r="C177" s="127" t="s">
        <v>338</v>
      </c>
      <c r="D177" s="126" t="s">
        <v>22</v>
      </c>
      <c r="E177" s="126" t="s">
        <v>13</v>
      </c>
      <c r="F177" s="128">
        <v>6.3</v>
      </c>
      <c r="G177" s="129">
        <v>1094.49</v>
      </c>
      <c r="H177" s="129">
        <f t="shared" ca="1" si="10"/>
        <v>1368.1125</v>
      </c>
      <c r="I177" s="130" t="s">
        <v>1271</v>
      </c>
      <c r="J177" s="131">
        <v>8619.09</v>
      </c>
    </row>
    <row r="178" spans="1:10" ht="34.200000000000003">
      <c r="A178" s="125" t="s">
        <v>339</v>
      </c>
      <c r="B178" s="126" t="s">
        <v>340</v>
      </c>
      <c r="C178" s="127" t="s">
        <v>341</v>
      </c>
      <c r="D178" s="126" t="s">
        <v>22</v>
      </c>
      <c r="E178" s="126" t="s">
        <v>13</v>
      </c>
      <c r="F178" s="128">
        <v>4</v>
      </c>
      <c r="G178" s="129">
        <v>1094.49</v>
      </c>
      <c r="H178" s="129">
        <f t="shared" ca="1" si="10"/>
        <v>1368.1125</v>
      </c>
      <c r="I178" s="130" t="s">
        <v>1272</v>
      </c>
      <c r="J178" s="131">
        <v>5472.44</v>
      </c>
    </row>
    <row r="179" spans="1:10" ht="34.200000000000003">
      <c r="A179" s="125" t="s">
        <v>342</v>
      </c>
      <c r="B179" s="126" t="s">
        <v>343</v>
      </c>
      <c r="C179" s="127" t="s">
        <v>344</v>
      </c>
      <c r="D179" s="126" t="s">
        <v>22</v>
      </c>
      <c r="E179" s="126" t="s">
        <v>13</v>
      </c>
      <c r="F179" s="128">
        <v>6.24</v>
      </c>
      <c r="G179" s="129">
        <v>1094.49</v>
      </c>
      <c r="H179" s="129">
        <f t="shared" ca="1" si="10"/>
        <v>1368.1125</v>
      </c>
      <c r="I179" s="130" t="s">
        <v>1273</v>
      </c>
      <c r="J179" s="131">
        <v>8537.01</v>
      </c>
    </row>
    <row r="180" spans="1:10" ht="20.100000000000001" customHeight="1">
      <c r="A180" s="122">
        <v>7</v>
      </c>
      <c r="B180" s="141" t="s">
        <v>345</v>
      </c>
      <c r="C180" s="141"/>
      <c r="D180" s="141"/>
      <c r="E180" s="141"/>
      <c r="F180" s="141"/>
      <c r="G180" s="141"/>
      <c r="H180" s="122"/>
      <c r="I180" s="123">
        <v>167447.93</v>
      </c>
      <c r="J180" s="124">
        <f>SUM(J181:J186)</f>
        <v>209309.93999999997</v>
      </c>
    </row>
    <row r="181" spans="1:10" ht="49.2" customHeight="1">
      <c r="A181" s="125" t="s">
        <v>346</v>
      </c>
      <c r="B181" s="126" t="s">
        <v>347</v>
      </c>
      <c r="C181" s="127" t="s">
        <v>348</v>
      </c>
      <c r="D181" s="126" t="s">
        <v>22</v>
      </c>
      <c r="E181" s="126" t="s">
        <v>13</v>
      </c>
      <c r="F181" s="128">
        <v>850.66</v>
      </c>
      <c r="G181" s="129">
        <v>149.61000000000001</v>
      </c>
      <c r="H181" s="129">
        <f t="shared" ca="1" si="10"/>
        <v>187.01250000000002</v>
      </c>
      <c r="I181" s="130" t="s">
        <v>1274</v>
      </c>
      <c r="J181" s="131">
        <v>159081.93</v>
      </c>
    </row>
    <row r="182" spans="1:10" ht="30" customHeight="1">
      <c r="A182" s="125" t="s">
        <v>349</v>
      </c>
      <c r="B182" s="126">
        <v>94229</v>
      </c>
      <c r="C182" s="127" t="s">
        <v>350</v>
      </c>
      <c r="D182" s="126" t="s">
        <v>12</v>
      </c>
      <c r="E182" s="126" t="s">
        <v>25</v>
      </c>
      <c r="F182" s="128">
        <v>69.150000000000006</v>
      </c>
      <c r="G182" s="129">
        <v>173.34</v>
      </c>
      <c r="H182" s="129">
        <f t="shared" ca="1" si="10"/>
        <v>216.67500000000001</v>
      </c>
      <c r="I182" s="130" t="s">
        <v>1275</v>
      </c>
      <c r="J182" s="131">
        <v>14983.42</v>
      </c>
    </row>
    <row r="183" spans="1:10">
      <c r="A183" s="125" t="s">
        <v>351</v>
      </c>
      <c r="B183" s="126" t="s">
        <v>352</v>
      </c>
      <c r="C183" s="127" t="s">
        <v>353</v>
      </c>
      <c r="D183" s="126" t="s">
        <v>22</v>
      </c>
      <c r="E183" s="126" t="s">
        <v>25</v>
      </c>
      <c r="F183" s="128">
        <v>93.6</v>
      </c>
      <c r="G183" s="129">
        <v>60.03</v>
      </c>
      <c r="H183" s="129">
        <f t="shared" ca="1" si="10"/>
        <v>75.037499999999994</v>
      </c>
      <c r="I183" s="130" t="s">
        <v>1276</v>
      </c>
      <c r="J183" s="131">
        <v>7023.74</v>
      </c>
    </row>
    <row r="184" spans="1:10">
      <c r="A184" s="125" t="s">
        <v>354</v>
      </c>
      <c r="B184" s="126" t="s">
        <v>355</v>
      </c>
      <c r="C184" s="127" t="s">
        <v>356</v>
      </c>
      <c r="D184" s="126" t="s">
        <v>22</v>
      </c>
      <c r="E184" s="126" t="s">
        <v>25</v>
      </c>
      <c r="F184" s="128">
        <v>45.7</v>
      </c>
      <c r="G184" s="129">
        <v>60.03</v>
      </c>
      <c r="H184" s="129">
        <f t="shared" ca="1" si="10"/>
        <v>75.037499999999994</v>
      </c>
      <c r="I184" s="130" t="s">
        <v>1277</v>
      </c>
      <c r="J184" s="131">
        <v>3429.33</v>
      </c>
    </row>
    <row r="185" spans="1:10">
      <c r="A185" s="125" t="s">
        <v>357</v>
      </c>
      <c r="B185" s="126" t="s">
        <v>358</v>
      </c>
      <c r="C185" s="127" t="s">
        <v>359</v>
      </c>
      <c r="D185" s="126" t="s">
        <v>22</v>
      </c>
      <c r="E185" s="126" t="s">
        <v>25</v>
      </c>
      <c r="F185" s="128">
        <v>126.6</v>
      </c>
      <c r="G185" s="129">
        <v>60.03</v>
      </c>
      <c r="H185" s="129">
        <f t="shared" ca="1" si="10"/>
        <v>75.037499999999994</v>
      </c>
      <c r="I185" s="130" t="s">
        <v>1278</v>
      </c>
      <c r="J185" s="131">
        <v>9500.06</v>
      </c>
    </row>
    <row r="186" spans="1:10">
      <c r="A186" s="125" t="s">
        <v>360</v>
      </c>
      <c r="B186" s="126" t="s">
        <v>361</v>
      </c>
      <c r="C186" s="127" t="s">
        <v>362</v>
      </c>
      <c r="D186" s="126" t="s">
        <v>22</v>
      </c>
      <c r="E186" s="126" t="s">
        <v>25</v>
      </c>
      <c r="F186" s="128">
        <v>233.6</v>
      </c>
      <c r="G186" s="129">
        <v>52.37</v>
      </c>
      <c r="H186" s="129">
        <f t="shared" ca="1" si="10"/>
        <v>65.462499999999991</v>
      </c>
      <c r="I186" s="130" t="s">
        <v>1279</v>
      </c>
      <c r="J186" s="131">
        <v>15291.46</v>
      </c>
    </row>
    <row r="187" spans="1:10" ht="20.100000000000001" customHeight="1">
      <c r="A187" s="122">
        <v>8</v>
      </c>
      <c r="B187" s="141" t="s">
        <v>363</v>
      </c>
      <c r="C187" s="141"/>
      <c r="D187" s="141"/>
      <c r="E187" s="141"/>
      <c r="F187" s="141"/>
      <c r="G187" s="141"/>
      <c r="H187" s="122"/>
      <c r="I187" s="123">
        <v>21386.99</v>
      </c>
      <c r="J187" s="124">
        <f>SUM(J188:J189)</f>
        <v>26732.440000000002</v>
      </c>
    </row>
    <row r="188" spans="1:10">
      <c r="A188" s="125" t="s">
        <v>364</v>
      </c>
      <c r="B188" s="126" t="s">
        <v>365</v>
      </c>
      <c r="C188" s="127" t="s">
        <v>366</v>
      </c>
      <c r="D188" s="126" t="s">
        <v>22</v>
      </c>
      <c r="E188" s="126" t="s">
        <v>13</v>
      </c>
      <c r="F188" s="128">
        <v>394.02</v>
      </c>
      <c r="G188" s="129">
        <v>41.17</v>
      </c>
      <c r="H188" s="129">
        <f t="shared" ca="1" si="10"/>
        <v>51.462500000000006</v>
      </c>
      <c r="I188" s="130" t="s">
        <v>1280</v>
      </c>
      <c r="J188" s="131">
        <v>20276.27</v>
      </c>
    </row>
    <row r="189" spans="1:10">
      <c r="A189" s="125" t="s">
        <v>367</v>
      </c>
      <c r="B189" s="126" t="s">
        <v>368</v>
      </c>
      <c r="C189" s="127" t="s">
        <v>369</v>
      </c>
      <c r="D189" s="126" t="s">
        <v>22</v>
      </c>
      <c r="E189" s="126" t="s">
        <v>13</v>
      </c>
      <c r="F189" s="128">
        <v>125.46</v>
      </c>
      <c r="G189" s="129">
        <v>41.17</v>
      </c>
      <c r="H189" s="129">
        <f t="shared" ca="1" si="10"/>
        <v>51.462500000000006</v>
      </c>
      <c r="I189" s="130" t="s">
        <v>1281</v>
      </c>
      <c r="J189" s="131">
        <v>6456.17</v>
      </c>
    </row>
    <row r="190" spans="1:10" ht="20.100000000000001" customHeight="1">
      <c r="A190" s="122">
        <v>9</v>
      </c>
      <c r="B190" s="141" t="s">
        <v>370</v>
      </c>
      <c r="C190" s="141"/>
      <c r="D190" s="141"/>
      <c r="E190" s="141"/>
      <c r="F190" s="141"/>
      <c r="G190" s="141"/>
      <c r="H190" s="122"/>
      <c r="I190" s="123">
        <v>236797.9</v>
      </c>
      <c r="J190" s="124">
        <f>SUM(J191,J204)</f>
        <v>295996.99000000005</v>
      </c>
    </row>
    <row r="191" spans="1:10" ht="20.100000000000001" customHeight="1">
      <c r="A191" s="122" t="s">
        <v>371</v>
      </c>
      <c r="B191" s="141" t="s">
        <v>41</v>
      </c>
      <c r="C191" s="141"/>
      <c r="D191" s="141"/>
      <c r="E191" s="141"/>
      <c r="F191" s="141"/>
      <c r="G191" s="141"/>
      <c r="H191" s="122"/>
      <c r="I191" s="123">
        <v>232509.19</v>
      </c>
      <c r="J191" s="124">
        <f>SUM(J192:J203)</f>
        <v>290636.59000000003</v>
      </c>
    </row>
    <row r="192" spans="1:10" ht="27.6" customHeight="1">
      <c r="A192" s="125" t="s">
        <v>372</v>
      </c>
      <c r="B192" s="126">
        <v>87878</v>
      </c>
      <c r="C192" s="127" t="s">
        <v>373</v>
      </c>
      <c r="D192" s="126" t="s">
        <v>12</v>
      </c>
      <c r="E192" s="126" t="s">
        <v>13</v>
      </c>
      <c r="F192" s="128">
        <v>2569.6</v>
      </c>
      <c r="G192" s="129">
        <v>4.7300000000000004</v>
      </c>
      <c r="H192" s="129">
        <f t="shared" ref="H192:H206" ca="1" si="13">(G192*I$5)+G192</f>
        <v>5.9125000000000005</v>
      </c>
      <c r="I192" s="130" t="s">
        <v>1282</v>
      </c>
      <c r="J192" s="131">
        <v>15186.34</v>
      </c>
    </row>
    <row r="193" spans="1:10" ht="41.4" customHeight="1">
      <c r="A193" s="125" t="s">
        <v>374</v>
      </c>
      <c r="B193" s="126">
        <v>87535</v>
      </c>
      <c r="C193" s="127" t="s">
        <v>375</v>
      </c>
      <c r="D193" s="126" t="s">
        <v>12</v>
      </c>
      <c r="E193" s="126" t="s">
        <v>13</v>
      </c>
      <c r="F193" s="128">
        <v>1589.78</v>
      </c>
      <c r="G193" s="129">
        <v>31.48</v>
      </c>
      <c r="H193" s="129">
        <f t="shared" ca="1" si="13"/>
        <v>39.35</v>
      </c>
      <c r="I193" s="130" t="s">
        <v>1283</v>
      </c>
      <c r="J193" s="131">
        <v>62557.84</v>
      </c>
    </row>
    <row r="194" spans="1:10" ht="43.2" customHeight="1">
      <c r="A194" s="125" t="s">
        <v>376</v>
      </c>
      <c r="B194" s="126">
        <v>87792</v>
      </c>
      <c r="C194" s="127" t="s">
        <v>377</v>
      </c>
      <c r="D194" s="126" t="s">
        <v>12</v>
      </c>
      <c r="E194" s="126" t="s">
        <v>13</v>
      </c>
      <c r="F194" s="128">
        <v>979.82</v>
      </c>
      <c r="G194" s="129">
        <v>39.01</v>
      </c>
      <c r="H194" s="129">
        <f t="shared" ca="1" si="13"/>
        <v>48.762499999999996</v>
      </c>
      <c r="I194" s="130" t="s">
        <v>1284</v>
      </c>
      <c r="J194" s="131">
        <v>47776.02</v>
      </c>
    </row>
    <row r="195" spans="1:10" ht="41.4" customHeight="1">
      <c r="A195" s="125" t="s">
        <v>378</v>
      </c>
      <c r="B195" s="126">
        <v>87543</v>
      </c>
      <c r="C195" s="127" t="s">
        <v>379</v>
      </c>
      <c r="D195" s="126" t="s">
        <v>12</v>
      </c>
      <c r="E195" s="126" t="s">
        <v>13</v>
      </c>
      <c r="F195" s="128">
        <v>1024.77</v>
      </c>
      <c r="G195" s="129">
        <v>22.41</v>
      </c>
      <c r="H195" s="129">
        <f t="shared" ca="1" si="13"/>
        <v>28.012499999999999</v>
      </c>
      <c r="I195" s="130" t="s">
        <v>1285</v>
      </c>
      <c r="J195" s="131">
        <v>28703.81</v>
      </c>
    </row>
    <row r="196" spans="1:10" ht="29.4" customHeight="1">
      <c r="A196" s="125" t="s">
        <v>380</v>
      </c>
      <c r="B196" s="126">
        <v>87273</v>
      </c>
      <c r="C196" s="127" t="s">
        <v>381</v>
      </c>
      <c r="D196" s="126" t="s">
        <v>12</v>
      </c>
      <c r="E196" s="126" t="s">
        <v>13</v>
      </c>
      <c r="F196" s="128">
        <v>456.39</v>
      </c>
      <c r="G196" s="129">
        <v>62.91</v>
      </c>
      <c r="H196" s="129">
        <f t="shared" ca="1" si="13"/>
        <v>78.637499999999989</v>
      </c>
      <c r="I196" s="130" t="s">
        <v>1286</v>
      </c>
      <c r="J196" s="131">
        <v>35890.51</v>
      </c>
    </row>
    <row r="197" spans="1:10" ht="28.8" customHeight="1">
      <c r="A197" s="125" t="s">
        <v>382</v>
      </c>
      <c r="B197" s="126" t="s">
        <v>383</v>
      </c>
      <c r="C197" s="127" t="s">
        <v>384</v>
      </c>
      <c r="D197" s="126" t="s">
        <v>22</v>
      </c>
      <c r="E197" s="126" t="s">
        <v>13</v>
      </c>
      <c r="F197" s="128">
        <v>94</v>
      </c>
      <c r="G197" s="129">
        <v>56.08</v>
      </c>
      <c r="H197" s="129">
        <f t="shared" ca="1" si="13"/>
        <v>70.099999999999994</v>
      </c>
      <c r="I197" s="130" t="s">
        <v>1287</v>
      </c>
      <c r="J197" s="131">
        <v>6589.4</v>
      </c>
    </row>
    <row r="198" spans="1:10" ht="29.4" customHeight="1">
      <c r="A198" s="125" t="s">
        <v>385</v>
      </c>
      <c r="B198" s="126" t="s">
        <v>386</v>
      </c>
      <c r="C198" s="127" t="s">
        <v>387</v>
      </c>
      <c r="D198" s="126" t="s">
        <v>22</v>
      </c>
      <c r="E198" s="126" t="s">
        <v>13</v>
      </c>
      <c r="F198" s="128">
        <v>4.5999999999999996</v>
      </c>
      <c r="G198" s="129">
        <v>56.08</v>
      </c>
      <c r="H198" s="129">
        <f t="shared" ca="1" si="13"/>
        <v>70.099999999999994</v>
      </c>
      <c r="I198" s="130" t="s">
        <v>1288</v>
      </c>
      <c r="J198" s="131">
        <v>322.45999999999998</v>
      </c>
    </row>
    <row r="199" spans="1:10" ht="22.8">
      <c r="A199" s="125" t="s">
        <v>388</v>
      </c>
      <c r="B199" s="126" t="s">
        <v>389</v>
      </c>
      <c r="C199" s="127" t="s">
        <v>390</v>
      </c>
      <c r="D199" s="126" t="s">
        <v>22</v>
      </c>
      <c r="E199" s="126" t="s">
        <v>13</v>
      </c>
      <c r="F199" s="128">
        <v>9.7100000000000009</v>
      </c>
      <c r="G199" s="129">
        <v>56.08</v>
      </c>
      <c r="H199" s="129">
        <f t="shared" ca="1" si="13"/>
        <v>70.099999999999994</v>
      </c>
      <c r="I199" s="130" t="s">
        <v>1289</v>
      </c>
      <c r="J199" s="131">
        <v>680.67</v>
      </c>
    </row>
    <row r="200" spans="1:10" ht="33" customHeight="1">
      <c r="A200" s="125" t="s">
        <v>391</v>
      </c>
      <c r="B200" s="126" t="s">
        <v>392</v>
      </c>
      <c r="C200" s="127" t="s">
        <v>393</v>
      </c>
      <c r="D200" s="126" t="s">
        <v>22</v>
      </c>
      <c r="E200" s="126" t="s">
        <v>13</v>
      </c>
      <c r="F200" s="128">
        <v>4.92</v>
      </c>
      <c r="G200" s="129">
        <v>56.08</v>
      </c>
      <c r="H200" s="129">
        <f t="shared" ca="1" si="13"/>
        <v>70.099999999999994</v>
      </c>
      <c r="I200" s="130" t="s">
        <v>1290</v>
      </c>
      <c r="J200" s="131">
        <v>344.89</v>
      </c>
    </row>
    <row r="201" spans="1:10">
      <c r="A201" s="125" t="s">
        <v>394</v>
      </c>
      <c r="B201" s="126" t="s">
        <v>395</v>
      </c>
      <c r="C201" s="127" t="s">
        <v>396</v>
      </c>
      <c r="D201" s="126" t="s">
        <v>22</v>
      </c>
      <c r="E201" s="126" t="s">
        <v>25</v>
      </c>
      <c r="F201" s="128">
        <v>127.2</v>
      </c>
      <c r="G201" s="129">
        <v>33.130000000000003</v>
      </c>
      <c r="H201" s="129">
        <f t="shared" ca="1" si="13"/>
        <v>41.412500000000001</v>
      </c>
      <c r="I201" s="130" t="s">
        <v>1291</v>
      </c>
      <c r="J201" s="131">
        <v>5267.35</v>
      </c>
    </row>
    <row r="202" spans="1:10" ht="29.4" customHeight="1">
      <c r="A202" s="125" t="s">
        <v>397</v>
      </c>
      <c r="B202" s="126">
        <v>96114</v>
      </c>
      <c r="C202" s="127" t="s">
        <v>398</v>
      </c>
      <c r="D202" s="126" t="s">
        <v>12</v>
      </c>
      <c r="E202" s="126" t="s">
        <v>13</v>
      </c>
      <c r="F202" s="128">
        <v>438.37</v>
      </c>
      <c r="G202" s="129">
        <v>73.97</v>
      </c>
      <c r="H202" s="129">
        <f t="shared" ca="1" si="13"/>
        <v>92.462500000000006</v>
      </c>
      <c r="I202" s="130" t="s">
        <v>1292</v>
      </c>
      <c r="J202" s="131">
        <v>40531.69</v>
      </c>
    </row>
    <row r="203" spans="1:10" ht="22.8">
      <c r="A203" s="125" t="s">
        <v>399</v>
      </c>
      <c r="B203" s="126" t="s">
        <v>400</v>
      </c>
      <c r="C203" s="127" t="s">
        <v>401</v>
      </c>
      <c r="D203" s="126" t="s">
        <v>22</v>
      </c>
      <c r="E203" s="126" t="s">
        <v>13</v>
      </c>
      <c r="F203" s="128">
        <v>259.43</v>
      </c>
      <c r="G203" s="129">
        <v>144.27000000000001</v>
      </c>
      <c r="H203" s="129">
        <f t="shared" ca="1" si="13"/>
        <v>180.33750000000001</v>
      </c>
      <c r="I203" s="130" t="s">
        <v>1293</v>
      </c>
      <c r="J203" s="131">
        <v>46785.61</v>
      </c>
    </row>
    <row r="204" spans="1:10" ht="20.100000000000001" customHeight="1">
      <c r="A204" s="122" t="s">
        <v>402</v>
      </c>
      <c r="B204" s="141" t="s">
        <v>403</v>
      </c>
      <c r="C204" s="141"/>
      <c r="D204" s="141"/>
      <c r="E204" s="141"/>
      <c r="F204" s="141"/>
      <c r="G204" s="141"/>
      <c r="H204" s="122"/>
      <c r="I204" s="123">
        <v>4288.71</v>
      </c>
      <c r="J204" s="124">
        <f>SUM(J205:J206)</f>
        <v>5360.4</v>
      </c>
    </row>
    <row r="205" spans="1:10" ht="34.799999999999997" customHeight="1">
      <c r="A205" s="125" t="s">
        <v>404</v>
      </c>
      <c r="B205" s="126">
        <v>87878</v>
      </c>
      <c r="C205" s="127" t="s">
        <v>373</v>
      </c>
      <c r="D205" s="126" t="s">
        <v>12</v>
      </c>
      <c r="E205" s="126" t="s">
        <v>13</v>
      </c>
      <c r="F205" s="128">
        <v>98.05</v>
      </c>
      <c r="G205" s="129">
        <v>4.7300000000000004</v>
      </c>
      <c r="H205" s="129">
        <f t="shared" ca="1" si="13"/>
        <v>5.9125000000000005</v>
      </c>
      <c r="I205" s="130" t="s">
        <v>1294</v>
      </c>
      <c r="J205" s="131">
        <v>579.48</v>
      </c>
    </row>
    <row r="206" spans="1:10" ht="36.6" customHeight="1">
      <c r="A206" s="125" t="s">
        <v>405</v>
      </c>
      <c r="B206" s="126">
        <v>87792</v>
      </c>
      <c r="C206" s="127" t="s">
        <v>377</v>
      </c>
      <c r="D206" s="126" t="s">
        <v>12</v>
      </c>
      <c r="E206" s="126" t="s">
        <v>13</v>
      </c>
      <c r="F206" s="128">
        <v>98.05</v>
      </c>
      <c r="G206" s="129">
        <v>39.01</v>
      </c>
      <c r="H206" s="129">
        <f t="shared" ca="1" si="13"/>
        <v>48.762499999999996</v>
      </c>
      <c r="I206" s="130" t="s">
        <v>1295</v>
      </c>
      <c r="J206" s="131">
        <v>4780.92</v>
      </c>
    </row>
    <row r="207" spans="1:10" ht="20.100000000000001" customHeight="1">
      <c r="A207" s="122">
        <v>10</v>
      </c>
      <c r="B207" s="141" t="s">
        <v>406</v>
      </c>
      <c r="C207" s="141"/>
      <c r="D207" s="141"/>
      <c r="E207" s="141"/>
      <c r="F207" s="141"/>
      <c r="G207" s="141"/>
      <c r="H207" s="122"/>
      <c r="I207" s="123">
        <v>130503.23</v>
      </c>
      <c r="J207" s="124">
        <f>SUM(J208,J221)</f>
        <v>162116.87000000002</v>
      </c>
    </row>
    <row r="208" spans="1:10" ht="20.100000000000001" customHeight="1">
      <c r="A208" s="122" t="s">
        <v>407</v>
      </c>
      <c r="B208" s="141" t="s">
        <v>408</v>
      </c>
      <c r="C208" s="141"/>
      <c r="D208" s="141"/>
      <c r="E208" s="141"/>
      <c r="F208" s="141"/>
      <c r="G208" s="141"/>
      <c r="H208" s="122"/>
      <c r="I208" s="123">
        <v>106399.11</v>
      </c>
      <c r="J208" s="124">
        <f>SUM(J209:J220)</f>
        <v>131985.31000000003</v>
      </c>
    </row>
    <row r="209" spans="1:10">
      <c r="A209" s="125" t="s">
        <v>409</v>
      </c>
      <c r="B209" s="126" t="s">
        <v>410</v>
      </c>
      <c r="C209" s="127" t="s">
        <v>411</v>
      </c>
      <c r="D209" s="126" t="s">
        <v>22</v>
      </c>
      <c r="E209" s="126" t="s">
        <v>13</v>
      </c>
      <c r="F209" s="128">
        <v>282.92</v>
      </c>
      <c r="G209" s="129">
        <v>39.44</v>
      </c>
      <c r="H209" s="129">
        <f t="shared" ref="H209:H228" ca="1" si="14">(G209*I$5)+G209</f>
        <v>49.3</v>
      </c>
      <c r="I209" s="130" t="s">
        <v>1296</v>
      </c>
      <c r="J209" s="131">
        <v>13947.96</v>
      </c>
    </row>
    <row r="210" spans="1:10" ht="28.8" customHeight="1">
      <c r="A210" s="125" t="s">
        <v>412</v>
      </c>
      <c r="B210" s="126">
        <v>98680</v>
      </c>
      <c r="C210" s="127" t="s">
        <v>413</v>
      </c>
      <c r="D210" s="126" t="s">
        <v>12</v>
      </c>
      <c r="E210" s="126" t="s">
        <v>13</v>
      </c>
      <c r="F210" s="128">
        <v>375.34</v>
      </c>
      <c r="G210" s="129">
        <v>46.72</v>
      </c>
      <c r="H210" s="129">
        <f t="shared" ca="1" si="14"/>
        <v>58.4</v>
      </c>
      <c r="I210" s="130" t="s">
        <v>1297</v>
      </c>
      <c r="J210" s="131">
        <v>21919.86</v>
      </c>
    </row>
    <row r="211" spans="1:10" ht="41.4" customHeight="1">
      <c r="A211" s="125" t="s">
        <v>414</v>
      </c>
      <c r="B211" s="126">
        <v>87755</v>
      </c>
      <c r="C211" s="127" t="s">
        <v>415</v>
      </c>
      <c r="D211" s="126" t="s">
        <v>12</v>
      </c>
      <c r="E211" s="126" t="s">
        <v>13</v>
      </c>
      <c r="F211" s="128">
        <v>125.46</v>
      </c>
      <c r="G211" s="129">
        <v>49.09</v>
      </c>
      <c r="H211" s="129">
        <f t="shared" ca="1" si="14"/>
        <v>61.362500000000004</v>
      </c>
      <c r="I211" s="130" t="s">
        <v>1298</v>
      </c>
      <c r="J211" s="131">
        <v>7698.23</v>
      </c>
    </row>
    <row r="212" spans="1:10" ht="31.2" customHeight="1">
      <c r="A212" s="125" t="s">
        <v>416</v>
      </c>
      <c r="B212" s="126">
        <v>87257</v>
      </c>
      <c r="C212" s="127" t="s">
        <v>417</v>
      </c>
      <c r="D212" s="126" t="s">
        <v>12</v>
      </c>
      <c r="E212" s="126" t="s">
        <v>13</v>
      </c>
      <c r="F212" s="128">
        <v>42.9</v>
      </c>
      <c r="G212" s="129">
        <v>83.98</v>
      </c>
      <c r="H212" s="129">
        <f t="shared" ca="1" si="14"/>
        <v>104.97500000000001</v>
      </c>
      <c r="I212" s="130" t="s">
        <v>1299</v>
      </c>
      <c r="J212" s="131">
        <v>4503.6400000000003</v>
      </c>
    </row>
    <row r="213" spans="1:10" ht="28.8" customHeight="1">
      <c r="A213" s="125" t="s">
        <v>418</v>
      </c>
      <c r="B213" s="126">
        <v>87251</v>
      </c>
      <c r="C213" s="127" t="s">
        <v>419</v>
      </c>
      <c r="D213" s="126" t="s">
        <v>12</v>
      </c>
      <c r="E213" s="126" t="s">
        <v>13</v>
      </c>
      <c r="F213" s="128">
        <v>148.94999999999999</v>
      </c>
      <c r="G213" s="129">
        <v>49.1</v>
      </c>
      <c r="H213" s="129">
        <f t="shared" ca="1" si="14"/>
        <v>61.375</v>
      </c>
      <c r="I213" s="130" t="s">
        <v>1300</v>
      </c>
      <c r="J213" s="131">
        <v>9142.5499999999993</v>
      </c>
    </row>
    <row r="214" spans="1:10">
      <c r="A214" s="125" t="s">
        <v>420</v>
      </c>
      <c r="B214" s="126" t="s">
        <v>421</v>
      </c>
      <c r="C214" s="127" t="s">
        <v>422</v>
      </c>
      <c r="D214" s="126" t="s">
        <v>22</v>
      </c>
      <c r="E214" s="126" t="s">
        <v>13</v>
      </c>
      <c r="F214" s="128">
        <v>216.53</v>
      </c>
      <c r="G214" s="129">
        <v>195.16</v>
      </c>
      <c r="H214" s="129">
        <f t="shared" ca="1" si="14"/>
        <v>243.95</v>
      </c>
      <c r="I214" s="130" t="s">
        <v>1301</v>
      </c>
      <c r="J214" s="131">
        <v>52822.49</v>
      </c>
    </row>
    <row r="215" spans="1:10" ht="28.2" customHeight="1">
      <c r="A215" s="125" t="s">
        <v>423</v>
      </c>
      <c r="B215" s="126" t="s">
        <v>424</v>
      </c>
      <c r="C215" s="127" t="s">
        <v>425</v>
      </c>
      <c r="D215" s="126" t="s">
        <v>22</v>
      </c>
      <c r="E215" s="126" t="s">
        <v>13</v>
      </c>
      <c r="F215" s="128">
        <v>216.53</v>
      </c>
      <c r="G215" s="129">
        <v>5.54</v>
      </c>
      <c r="H215" s="129">
        <f t="shared" ca="1" si="14"/>
        <v>6.9249999999999998</v>
      </c>
      <c r="I215" s="130" t="s">
        <v>1302</v>
      </c>
      <c r="J215" s="131">
        <v>1500.55</v>
      </c>
    </row>
    <row r="216" spans="1:10" ht="29.4" customHeight="1">
      <c r="A216" s="125" t="s">
        <v>426</v>
      </c>
      <c r="B216" s="126">
        <v>88650</v>
      </c>
      <c r="C216" s="127" t="s">
        <v>427</v>
      </c>
      <c r="D216" s="126" t="s">
        <v>12</v>
      </c>
      <c r="E216" s="126" t="s">
        <v>25</v>
      </c>
      <c r="F216" s="128">
        <v>15.52</v>
      </c>
      <c r="G216" s="129">
        <v>15.54</v>
      </c>
      <c r="H216" s="129">
        <f t="shared" ca="1" si="14"/>
        <v>19.424999999999997</v>
      </c>
      <c r="I216" s="130" t="s">
        <v>1303</v>
      </c>
      <c r="J216" s="131">
        <v>301.55</v>
      </c>
    </row>
    <row r="217" spans="1:10">
      <c r="A217" s="125" t="s">
        <v>428</v>
      </c>
      <c r="B217" s="126">
        <v>98688</v>
      </c>
      <c r="C217" s="127" t="s">
        <v>429</v>
      </c>
      <c r="D217" s="126" t="s">
        <v>12</v>
      </c>
      <c r="E217" s="126" t="s">
        <v>25</v>
      </c>
      <c r="F217" s="128">
        <v>127.2</v>
      </c>
      <c r="G217" s="129">
        <v>66.28</v>
      </c>
      <c r="H217" s="129">
        <f t="shared" ca="1" si="14"/>
        <v>82.85</v>
      </c>
      <c r="I217" s="130" t="s">
        <v>1304</v>
      </c>
      <c r="J217" s="131">
        <v>10538.52</v>
      </c>
    </row>
    <row r="218" spans="1:10" ht="21" customHeight="1">
      <c r="A218" s="125" t="s">
        <v>430</v>
      </c>
      <c r="B218" s="126">
        <v>98689</v>
      </c>
      <c r="C218" s="127" t="s">
        <v>431</v>
      </c>
      <c r="D218" s="126" t="s">
        <v>12</v>
      </c>
      <c r="E218" s="126" t="s">
        <v>25</v>
      </c>
      <c r="F218" s="128">
        <v>53.45</v>
      </c>
      <c r="G218" s="129">
        <v>87.76</v>
      </c>
      <c r="H218" s="129">
        <f t="shared" ca="1" si="14"/>
        <v>109.7</v>
      </c>
      <c r="I218" s="130" t="s">
        <v>1305</v>
      </c>
      <c r="J218" s="131">
        <v>5863.47</v>
      </c>
    </row>
    <row r="219" spans="1:10" ht="19.2" customHeight="1">
      <c r="A219" s="125" t="s">
        <v>432</v>
      </c>
      <c r="B219" s="126" t="s">
        <v>433</v>
      </c>
      <c r="C219" s="127" t="s">
        <v>434</v>
      </c>
      <c r="D219" s="126" t="s">
        <v>22</v>
      </c>
      <c r="E219" s="126" t="s">
        <v>25</v>
      </c>
      <c r="F219" s="128">
        <v>1.75</v>
      </c>
      <c r="G219" s="129">
        <v>87.75</v>
      </c>
      <c r="H219" s="129">
        <f t="shared" ca="1" si="14"/>
        <v>109.6875</v>
      </c>
      <c r="I219" s="130" t="s">
        <v>1306</v>
      </c>
      <c r="J219" s="131">
        <v>191.96</v>
      </c>
    </row>
    <row r="220" spans="1:10" ht="22.8">
      <c r="A220" s="125" t="s">
        <v>435</v>
      </c>
      <c r="B220" s="126">
        <v>102494</v>
      </c>
      <c r="C220" s="127" t="s">
        <v>436</v>
      </c>
      <c r="D220" s="126" t="s">
        <v>12</v>
      </c>
      <c r="E220" s="126" t="s">
        <v>13</v>
      </c>
      <c r="F220" s="128">
        <v>37.42</v>
      </c>
      <c r="G220" s="129">
        <v>75.989999999999995</v>
      </c>
      <c r="H220" s="129">
        <f t="shared" ca="1" si="14"/>
        <v>94.987499999999997</v>
      </c>
      <c r="I220" s="130" t="s">
        <v>1307</v>
      </c>
      <c r="J220" s="131">
        <v>3554.53</v>
      </c>
    </row>
    <row r="221" spans="1:10" ht="20.100000000000001" customHeight="1">
      <c r="A221" s="122" t="s">
        <v>437</v>
      </c>
      <c r="B221" s="141" t="s">
        <v>438</v>
      </c>
      <c r="C221" s="141"/>
      <c r="D221" s="141"/>
      <c r="E221" s="141"/>
      <c r="F221" s="141"/>
      <c r="G221" s="141"/>
      <c r="H221" s="122"/>
      <c r="I221" s="123">
        <v>24104.12</v>
      </c>
      <c r="J221" s="124">
        <f>SUM(J222:J228)</f>
        <v>30131.559999999998</v>
      </c>
    </row>
    <row r="222" spans="1:10" ht="28.8" customHeight="1">
      <c r="A222" s="125" t="s">
        <v>439</v>
      </c>
      <c r="B222" s="126">
        <v>98682</v>
      </c>
      <c r="C222" s="127" t="s">
        <v>440</v>
      </c>
      <c r="D222" s="126" t="s">
        <v>12</v>
      </c>
      <c r="E222" s="126" t="s">
        <v>13</v>
      </c>
      <c r="F222" s="128">
        <v>254.8</v>
      </c>
      <c r="G222" s="129">
        <v>44.26</v>
      </c>
      <c r="H222" s="129">
        <f t="shared" ca="1" si="14"/>
        <v>55.324999999999996</v>
      </c>
      <c r="I222" s="130" t="s">
        <v>1308</v>
      </c>
      <c r="J222" s="131">
        <v>14098.08</v>
      </c>
    </row>
    <row r="223" spans="1:10" ht="31.2" customHeight="1">
      <c r="A223" s="125" t="s">
        <v>441</v>
      </c>
      <c r="B223" s="126">
        <v>92396</v>
      </c>
      <c r="C223" s="127" t="s">
        <v>442</v>
      </c>
      <c r="D223" s="126" t="s">
        <v>12</v>
      </c>
      <c r="E223" s="126" t="s">
        <v>13</v>
      </c>
      <c r="F223" s="128">
        <v>27.74</v>
      </c>
      <c r="G223" s="129">
        <v>76.959999999999994</v>
      </c>
      <c r="H223" s="129">
        <f t="shared" ca="1" si="14"/>
        <v>96.199999999999989</v>
      </c>
      <c r="I223" s="130" t="s">
        <v>1309</v>
      </c>
      <c r="J223" s="131">
        <v>2668.59</v>
      </c>
    </row>
    <row r="224" spans="1:10">
      <c r="A224" s="125" t="s">
        <v>443</v>
      </c>
      <c r="B224" s="126" t="s">
        <v>444</v>
      </c>
      <c r="C224" s="127" t="s">
        <v>445</v>
      </c>
      <c r="D224" s="126" t="s">
        <v>22</v>
      </c>
      <c r="E224" s="126" t="s">
        <v>13</v>
      </c>
      <c r="F224" s="128">
        <v>4.88</v>
      </c>
      <c r="G224" s="129">
        <v>184.85</v>
      </c>
      <c r="H224" s="129">
        <f t="shared" ca="1" si="14"/>
        <v>231.0625</v>
      </c>
      <c r="I224" s="130" t="s">
        <v>1310</v>
      </c>
      <c r="J224" s="131">
        <v>1127.57</v>
      </c>
    </row>
    <row r="225" spans="1:10" ht="22.8">
      <c r="A225" s="125" t="s">
        <v>446</v>
      </c>
      <c r="B225" s="126" t="s">
        <v>447</v>
      </c>
      <c r="C225" s="127" t="s">
        <v>448</v>
      </c>
      <c r="D225" s="126" t="s">
        <v>22</v>
      </c>
      <c r="E225" s="126" t="s">
        <v>13</v>
      </c>
      <c r="F225" s="128">
        <v>7.5</v>
      </c>
      <c r="G225" s="129">
        <v>184.85</v>
      </c>
      <c r="H225" s="129">
        <f t="shared" ca="1" si="14"/>
        <v>231.0625</v>
      </c>
      <c r="I225" s="130" t="s">
        <v>1311</v>
      </c>
      <c r="J225" s="131">
        <v>1732.95</v>
      </c>
    </row>
    <row r="226" spans="1:10">
      <c r="A226" s="125" t="s">
        <v>449</v>
      </c>
      <c r="B226" s="126" t="s">
        <v>450</v>
      </c>
      <c r="C226" s="127" t="s">
        <v>451</v>
      </c>
      <c r="D226" s="126" t="s">
        <v>22</v>
      </c>
      <c r="E226" s="126" t="s">
        <v>46</v>
      </c>
      <c r="F226" s="128">
        <v>21.96</v>
      </c>
      <c r="G226" s="129">
        <v>138.5</v>
      </c>
      <c r="H226" s="129">
        <f t="shared" ca="1" si="14"/>
        <v>173.125</v>
      </c>
      <c r="I226" s="130" t="s">
        <v>1312</v>
      </c>
      <c r="J226" s="131">
        <v>3801.93</v>
      </c>
    </row>
    <row r="227" spans="1:10">
      <c r="A227" s="125" t="s">
        <v>452</v>
      </c>
      <c r="B227" s="126">
        <v>98504</v>
      </c>
      <c r="C227" s="127" t="s">
        <v>453</v>
      </c>
      <c r="D227" s="126" t="s">
        <v>12</v>
      </c>
      <c r="E227" s="126" t="s">
        <v>13</v>
      </c>
      <c r="F227" s="128">
        <v>344.81</v>
      </c>
      <c r="G227" s="129">
        <v>14.72</v>
      </c>
      <c r="H227" s="129">
        <f t="shared" ca="1" si="14"/>
        <v>18.400000000000002</v>
      </c>
      <c r="I227" s="130" t="s">
        <v>1313</v>
      </c>
      <c r="J227" s="131">
        <v>6344.5</v>
      </c>
    </row>
    <row r="228" spans="1:10" ht="27" customHeight="1">
      <c r="A228" s="125" t="s">
        <v>454</v>
      </c>
      <c r="B228" s="126">
        <v>94263</v>
      </c>
      <c r="C228" s="127" t="s">
        <v>455</v>
      </c>
      <c r="D228" s="126" t="s">
        <v>12</v>
      </c>
      <c r="E228" s="126" t="s">
        <v>25</v>
      </c>
      <c r="F228" s="128">
        <v>8.06</v>
      </c>
      <c r="G228" s="129">
        <v>35.53</v>
      </c>
      <c r="H228" s="129">
        <f t="shared" ca="1" si="14"/>
        <v>44.412500000000001</v>
      </c>
      <c r="I228" s="130" t="s">
        <v>1314</v>
      </c>
      <c r="J228" s="131">
        <v>357.94</v>
      </c>
    </row>
    <row r="229" spans="1:10" ht="20.100000000000001" customHeight="1">
      <c r="A229" s="122">
        <v>11</v>
      </c>
      <c r="B229" s="141" t="s">
        <v>456</v>
      </c>
      <c r="C229" s="141"/>
      <c r="D229" s="141"/>
      <c r="E229" s="141"/>
      <c r="F229" s="141"/>
      <c r="G229" s="141"/>
      <c r="H229" s="122"/>
      <c r="I229" s="123">
        <v>127994.78</v>
      </c>
      <c r="J229" s="124">
        <f>SUM(J230,J237,J240,J243,)</f>
        <v>159998.31000000003</v>
      </c>
    </row>
    <row r="230" spans="1:10" ht="20.100000000000001" customHeight="1">
      <c r="A230" s="122" t="s">
        <v>457</v>
      </c>
      <c r="B230" s="141" t="s">
        <v>458</v>
      </c>
      <c r="C230" s="141"/>
      <c r="D230" s="141"/>
      <c r="E230" s="141"/>
      <c r="F230" s="141"/>
      <c r="G230" s="141"/>
      <c r="H230" s="122"/>
      <c r="I230" s="123">
        <v>89257.76</v>
      </c>
      <c r="J230" s="124">
        <f>SUM(J231:J236)</f>
        <v>111575.67000000001</v>
      </c>
    </row>
    <row r="231" spans="1:10" ht="25.8" customHeight="1">
      <c r="A231" s="125" t="s">
        <v>459</v>
      </c>
      <c r="B231" s="126">
        <v>88497</v>
      </c>
      <c r="C231" s="127" t="s">
        <v>460</v>
      </c>
      <c r="D231" s="126" t="s">
        <v>12</v>
      </c>
      <c r="E231" s="126" t="s">
        <v>13</v>
      </c>
      <c r="F231" s="128">
        <v>2004.59</v>
      </c>
      <c r="G231" s="129">
        <v>17.61</v>
      </c>
      <c r="H231" s="129">
        <f t="shared" ref="H231:H239" ca="1" si="15">(G231*I$5)+G231</f>
        <v>22.012499999999999</v>
      </c>
      <c r="I231" s="130" t="s">
        <v>1315</v>
      </c>
      <c r="J231" s="131">
        <v>44121.03</v>
      </c>
    </row>
    <row r="232" spans="1:10" ht="19.8" customHeight="1">
      <c r="A232" s="125" t="s">
        <v>461</v>
      </c>
      <c r="B232" s="126" t="s">
        <v>462</v>
      </c>
      <c r="C232" s="127" t="s">
        <v>463</v>
      </c>
      <c r="D232" s="126" t="s">
        <v>22</v>
      </c>
      <c r="E232" s="126" t="s">
        <v>13</v>
      </c>
      <c r="F232" s="128">
        <v>1902.96</v>
      </c>
      <c r="G232" s="129">
        <v>11.82</v>
      </c>
      <c r="H232" s="129">
        <f t="shared" ca="1" si="15"/>
        <v>14.775</v>
      </c>
      <c r="I232" s="130" t="s">
        <v>1316</v>
      </c>
      <c r="J232" s="131">
        <v>28125.75</v>
      </c>
    </row>
    <row r="233" spans="1:10" ht="31.2" customHeight="1">
      <c r="A233" s="125" t="s">
        <v>464</v>
      </c>
      <c r="B233" s="126">
        <v>102219</v>
      </c>
      <c r="C233" s="127" t="s">
        <v>465</v>
      </c>
      <c r="D233" s="126" t="s">
        <v>12</v>
      </c>
      <c r="E233" s="126" t="s">
        <v>13</v>
      </c>
      <c r="F233" s="128">
        <v>126.01</v>
      </c>
      <c r="G233" s="129">
        <v>18.18</v>
      </c>
      <c r="H233" s="129">
        <f t="shared" ca="1" si="15"/>
        <v>22.725000000000001</v>
      </c>
      <c r="I233" s="130" t="s">
        <v>1317</v>
      </c>
      <c r="J233" s="131">
        <v>2864.21</v>
      </c>
    </row>
    <row r="234" spans="1:10">
      <c r="A234" s="125" t="s">
        <v>466</v>
      </c>
      <c r="B234" s="126" t="s">
        <v>467</v>
      </c>
      <c r="C234" s="127" t="s">
        <v>468</v>
      </c>
      <c r="D234" s="126" t="s">
        <v>22</v>
      </c>
      <c r="E234" s="126" t="s">
        <v>13</v>
      </c>
      <c r="F234" s="128">
        <v>12.72</v>
      </c>
      <c r="G234" s="129">
        <v>18.18</v>
      </c>
      <c r="H234" s="129">
        <f t="shared" ca="1" si="15"/>
        <v>22.725000000000001</v>
      </c>
      <c r="I234" s="130" t="s">
        <v>1318</v>
      </c>
      <c r="J234" s="131">
        <v>289.13</v>
      </c>
    </row>
    <row r="235" spans="1:10" ht="22.8">
      <c r="A235" s="125" t="s">
        <v>469</v>
      </c>
      <c r="B235" s="126" t="s">
        <v>470</v>
      </c>
      <c r="C235" s="127" t="s">
        <v>471</v>
      </c>
      <c r="D235" s="126" t="s">
        <v>22</v>
      </c>
      <c r="E235" s="126" t="s">
        <v>13</v>
      </c>
      <c r="F235" s="128">
        <v>101.63</v>
      </c>
      <c r="G235" s="129">
        <v>132.97</v>
      </c>
      <c r="H235" s="129">
        <f t="shared" ca="1" si="15"/>
        <v>166.21250000000001</v>
      </c>
      <c r="I235" s="130" t="s">
        <v>1319</v>
      </c>
      <c r="J235" s="131">
        <v>16891.919999999998</v>
      </c>
    </row>
    <row r="236" spans="1:10" ht="40.200000000000003" customHeight="1">
      <c r="A236" s="125" t="s">
        <v>472</v>
      </c>
      <c r="B236" s="126">
        <v>100742</v>
      </c>
      <c r="C236" s="127" t="s">
        <v>473</v>
      </c>
      <c r="D236" s="126" t="s">
        <v>12</v>
      </c>
      <c r="E236" s="126" t="s">
        <v>13</v>
      </c>
      <c r="F236" s="128">
        <v>593.16</v>
      </c>
      <c r="G236" s="129">
        <v>26.01</v>
      </c>
      <c r="H236" s="129">
        <f t="shared" ca="1" si="15"/>
        <v>32.512500000000003</v>
      </c>
      <c r="I236" s="130" t="s">
        <v>1320</v>
      </c>
      <c r="J236" s="131">
        <v>19283.63</v>
      </c>
    </row>
    <row r="237" spans="1:10" ht="20.100000000000001" customHeight="1">
      <c r="A237" s="122" t="s">
        <v>474</v>
      </c>
      <c r="B237" s="141" t="s">
        <v>475</v>
      </c>
      <c r="C237" s="141"/>
      <c r="D237" s="141"/>
      <c r="E237" s="141"/>
      <c r="F237" s="141"/>
      <c r="G237" s="141"/>
      <c r="H237" s="122"/>
      <c r="I237" s="123">
        <v>15272.4</v>
      </c>
      <c r="J237" s="124">
        <f>SUM(J238:J239)</f>
        <v>19091.61</v>
      </c>
    </row>
    <row r="238" spans="1:10" ht="22.8">
      <c r="A238" s="125" t="s">
        <v>476</v>
      </c>
      <c r="B238" s="126">
        <v>88494</v>
      </c>
      <c r="C238" s="127" t="s">
        <v>477</v>
      </c>
      <c r="D238" s="126" t="s">
        <v>12</v>
      </c>
      <c r="E238" s="126" t="s">
        <v>13</v>
      </c>
      <c r="F238" s="128">
        <v>442.55</v>
      </c>
      <c r="G238" s="129">
        <v>20.45</v>
      </c>
      <c r="H238" s="129">
        <f t="shared" ca="1" si="15"/>
        <v>25.5625</v>
      </c>
      <c r="I238" s="130" t="s">
        <v>1321</v>
      </c>
      <c r="J238" s="131">
        <v>11311.58</v>
      </c>
    </row>
    <row r="239" spans="1:10">
      <c r="A239" s="125" t="s">
        <v>478</v>
      </c>
      <c r="B239" s="126">
        <v>88488</v>
      </c>
      <c r="C239" s="127" t="s">
        <v>479</v>
      </c>
      <c r="D239" s="126" t="s">
        <v>12</v>
      </c>
      <c r="E239" s="126" t="s">
        <v>13</v>
      </c>
      <c r="F239" s="128">
        <v>442.55</v>
      </c>
      <c r="G239" s="129">
        <v>14.06</v>
      </c>
      <c r="H239" s="129">
        <f t="shared" ca="1" si="15"/>
        <v>17.574999999999999</v>
      </c>
      <c r="I239" s="130" t="s">
        <v>1322</v>
      </c>
      <c r="J239" s="131">
        <v>7780.03</v>
      </c>
    </row>
    <row r="240" spans="1:10" ht="20.100000000000001" customHeight="1">
      <c r="A240" s="122" t="s">
        <v>480</v>
      </c>
      <c r="B240" s="141" t="s">
        <v>481</v>
      </c>
      <c r="C240" s="141"/>
      <c r="D240" s="141"/>
      <c r="E240" s="141"/>
      <c r="F240" s="141"/>
      <c r="G240" s="141"/>
      <c r="H240" s="122"/>
      <c r="I240" s="123">
        <v>20516.259999999998</v>
      </c>
      <c r="J240" s="124">
        <f>SUM(J241)</f>
        <v>25645.33</v>
      </c>
    </row>
    <row r="241" spans="1:10" ht="20.100000000000001" customHeight="1">
      <c r="A241" s="122" t="s">
        <v>482</v>
      </c>
      <c r="B241" s="141" t="s">
        <v>169</v>
      </c>
      <c r="C241" s="141"/>
      <c r="D241" s="141"/>
      <c r="E241" s="141"/>
      <c r="F241" s="141"/>
      <c r="G241" s="141"/>
      <c r="H241" s="122"/>
      <c r="I241" s="123">
        <v>20516.259999999998</v>
      </c>
      <c r="J241" s="124">
        <f>SUM(J242)</f>
        <v>25645.33</v>
      </c>
    </row>
    <row r="242" spans="1:10" ht="41.4" customHeight="1">
      <c r="A242" s="125" t="s">
        <v>483</v>
      </c>
      <c r="B242" s="126">
        <v>100724</v>
      </c>
      <c r="C242" s="127" t="s">
        <v>484</v>
      </c>
      <c r="D242" s="126" t="s">
        <v>12</v>
      </c>
      <c r="E242" s="126" t="s">
        <v>13</v>
      </c>
      <c r="F242" s="128">
        <v>1285.48</v>
      </c>
      <c r="G242" s="129">
        <v>15.96</v>
      </c>
      <c r="H242" s="129">
        <f t="shared" ref="H242:H245" ca="1" si="16">(G242*I$5)+G242</f>
        <v>19.950000000000003</v>
      </c>
      <c r="I242" s="130" t="s">
        <v>1323</v>
      </c>
      <c r="J242" s="131">
        <v>25645.33</v>
      </c>
    </row>
    <row r="243" spans="1:10" ht="20.100000000000001" customHeight="1">
      <c r="A243" s="122" t="s">
        <v>485</v>
      </c>
      <c r="B243" s="141" t="s">
        <v>403</v>
      </c>
      <c r="C243" s="141"/>
      <c r="D243" s="141"/>
      <c r="E243" s="141"/>
      <c r="F243" s="141"/>
      <c r="G243" s="141"/>
      <c r="H243" s="122"/>
      <c r="I243" s="123">
        <v>2948.36</v>
      </c>
      <c r="J243" s="124">
        <f>SUM(J244:J245)</f>
        <v>3685.7</v>
      </c>
    </row>
    <row r="244" spans="1:10" ht="30" customHeight="1">
      <c r="A244" s="125" t="s">
        <v>486</v>
      </c>
      <c r="B244" s="126">
        <v>96132</v>
      </c>
      <c r="C244" s="127" t="s">
        <v>487</v>
      </c>
      <c r="D244" s="126" t="s">
        <v>12</v>
      </c>
      <c r="E244" s="126" t="s">
        <v>13</v>
      </c>
      <c r="F244" s="128">
        <v>98.05</v>
      </c>
      <c r="G244" s="129">
        <v>18.25</v>
      </c>
      <c r="H244" s="129">
        <f t="shared" ca="1" si="16"/>
        <v>22.8125</v>
      </c>
      <c r="I244" s="130" t="s">
        <v>1324</v>
      </c>
      <c r="J244" s="131">
        <v>2236.52</v>
      </c>
    </row>
    <row r="245" spans="1:10">
      <c r="A245" s="125" t="s">
        <v>488</v>
      </c>
      <c r="B245" s="126">
        <v>88489</v>
      </c>
      <c r="C245" s="127" t="s">
        <v>489</v>
      </c>
      <c r="D245" s="126" t="s">
        <v>12</v>
      </c>
      <c r="E245" s="126" t="s">
        <v>13</v>
      </c>
      <c r="F245" s="128">
        <v>98.05</v>
      </c>
      <c r="G245" s="129">
        <v>11.82</v>
      </c>
      <c r="H245" s="129">
        <f t="shared" ca="1" si="16"/>
        <v>14.775</v>
      </c>
      <c r="I245" s="130" t="s">
        <v>1325</v>
      </c>
      <c r="J245" s="131">
        <v>1449.18</v>
      </c>
    </row>
    <row r="246" spans="1:10" ht="20.100000000000001" customHeight="1">
      <c r="A246" s="122">
        <v>12</v>
      </c>
      <c r="B246" s="141" t="s">
        <v>490</v>
      </c>
      <c r="C246" s="141"/>
      <c r="D246" s="141"/>
      <c r="E246" s="141"/>
      <c r="F246" s="141"/>
      <c r="G246" s="141"/>
      <c r="H246" s="122"/>
      <c r="I246" s="123">
        <v>77147.12</v>
      </c>
      <c r="J246" s="124">
        <f ca="1">SUM(J247,J290,J297)</f>
        <v>96439.026000000013</v>
      </c>
    </row>
    <row r="247" spans="1:10" ht="20.100000000000001" customHeight="1">
      <c r="A247" s="122" t="s">
        <v>491</v>
      </c>
      <c r="B247" s="141" t="s">
        <v>492</v>
      </c>
      <c r="C247" s="141"/>
      <c r="D247" s="141"/>
      <c r="E247" s="141"/>
      <c r="F247" s="141"/>
      <c r="G247" s="141"/>
      <c r="H247" s="122"/>
      <c r="I247" s="123">
        <v>28412.74</v>
      </c>
      <c r="J247" s="124">
        <f ca="1">SUM(J248:J289)</f>
        <v>35520.860000000015</v>
      </c>
    </row>
    <row r="248" spans="1:10" ht="28.2" customHeight="1">
      <c r="A248" s="125" t="s">
        <v>493</v>
      </c>
      <c r="B248" s="126">
        <v>89401</v>
      </c>
      <c r="C248" s="127" t="s">
        <v>494</v>
      </c>
      <c r="D248" s="126" t="s">
        <v>12</v>
      </c>
      <c r="E248" s="126" t="s">
        <v>25</v>
      </c>
      <c r="F248" s="128">
        <v>27.6</v>
      </c>
      <c r="G248" s="129">
        <v>10.25</v>
      </c>
      <c r="H248" s="129">
        <f t="shared" ref="H248:H298" ca="1" si="17">(G248*I$5)+G248</f>
        <v>12.8125</v>
      </c>
      <c r="I248" s="130" t="s">
        <v>1326</v>
      </c>
      <c r="J248" s="131">
        <v>353.56</v>
      </c>
    </row>
    <row r="249" spans="1:10" ht="31.2" customHeight="1">
      <c r="A249" s="125" t="s">
        <v>495</v>
      </c>
      <c r="B249" s="126">
        <v>89356</v>
      </c>
      <c r="C249" s="127" t="s">
        <v>496</v>
      </c>
      <c r="D249" s="126" t="s">
        <v>12</v>
      </c>
      <c r="E249" s="126" t="s">
        <v>25</v>
      </c>
      <c r="F249" s="128">
        <v>166.9</v>
      </c>
      <c r="G249" s="129">
        <v>22.5</v>
      </c>
      <c r="H249" s="129">
        <f t="shared" ca="1" si="17"/>
        <v>28.125</v>
      </c>
      <c r="I249" s="130" t="s">
        <v>1327</v>
      </c>
      <c r="J249" s="131">
        <v>4694.8999999999996</v>
      </c>
    </row>
    <row r="250" spans="1:10" ht="32.4" customHeight="1">
      <c r="A250" s="125" t="s">
        <v>497</v>
      </c>
      <c r="B250" s="126">
        <v>103979</v>
      </c>
      <c r="C250" s="127" t="s">
        <v>498</v>
      </c>
      <c r="D250" s="126" t="s">
        <v>12</v>
      </c>
      <c r="E250" s="126" t="s">
        <v>25</v>
      </c>
      <c r="F250" s="128">
        <v>81.05</v>
      </c>
      <c r="G250" s="129">
        <v>28.19</v>
      </c>
      <c r="H250" s="129">
        <f t="shared" ca="1" si="17"/>
        <v>35.237500000000004</v>
      </c>
      <c r="I250" s="130" t="s">
        <v>1328</v>
      </c>
      <c r="J250" s="131">
        <v>2856.2</v>
      </c>
    </row>
    <row r="251" spans="1:10" ht="38.4" customHeight="1">
      <c r="A251" s="125" t="s">
        <v>499</v>
      </c>
      <c r="B251" s="126">
        <v>89450</v>
      </c>
      <c r="C251" s="127" t="s">
        <v>500</v>
      </c>
      <c r="D251" s="126" t="s">
        <v>12</v>
      </c>
      <c r="E251" s="126" t="s">
        <v>25</v>
      </c>
      <c r="F251" s="128">
        <v>11</v>
      </c>
      <c r="G251" s="129">
        <v>27.13</v>
      </c>
      <c r="H251" s="129">
        <f t="shared" ca="1" si="17"/>
        <v>33.912500000000001</v>
      </c>
      <c r="I251" s="130" t="s">
        <v>1329</v>
      </c>
      <c r="J251" s="131">
        <v>373.01</v>
      </c>
    </row>
    <row r="252" spans="1:10" ht="38.4" customHeight="1">
      <c r="A252" s="125" t="s">
        <v>501</v>
      </c>
      <c r="B252" s="126">
        <v>89451</v>
      </c>
      <c r="C252" s="127" t="s">
        <v>502</v>
      </c>
      <c r="D252" s="126" t="s">
        <v>12</v>
      </c>
      <c r="E252" s="126" t="s">
        <v>25</v>
      </c>
      <c r="F252" s="128">
        <v>134.6</v>
      </c>
      <c r="G252" s="129">
        <v>44.16</v>
      </c>
      <c r="H252" s="129">
        <f t="shared" ca="1" si="17"/>
        <v>55.199999999999996</v>
      </c>
      <c r="I252" s="130" t="s">
        <v>1330</v>
      </c>
      <c r="J252" s="131">
        <v>7429.92</v>
      </c>
    </row>
    <row r="253" spans="1:10" ht="25.8" customHeight="1">
      <c r="A253" s="125" t="s">
        <v>503</v>
      </c>
      <c r="B253" s="126">
        <v>89452</v>
      </c>
      <c r="C253" s="127" t="s">
        <v>504</v>
      </c>
      <c r="D253" s="126" t="s">
        <v>12</v>
      </c>
      <c r="E253" s="126" t="s">
        <v>25</v>
      </c>
      <c r="F253" s="128">
        <v>54.55</v>
      </c>
      <c r="G253" s="129">
        <v>60.79</v>
      </c>
      <c r="H253" s="129">
        <f t="shared" ca="1" si="17"/>
        <v>75.987499999999997</v>
      </c>
      <c r="I253" s="130" t="s">
        <v>1331</v>
      </c>
      <c r="J253" s="131">
        <v>4145.25</v>
      </c>
    </row>
    <row r="254" spans="1:10" ht="44.4" customHeight="1">
      <c r="A254" s="125" t="s">
        <v>505</v>
      </c>
      <c r="B254" s="126">
        <v>94771</v>
      </c>
      <c r="C254" s="127" t="s">
        <v>506</v>
      </c>
      <c r="D254" s="126" t="s">
        <v>12</v>
      </c>
      <c r="E254" s="126" t="s">
        <v>18</v>
      </c>
      <c r="F254" s="128">
        <v>3</v>
      </c>
      <c r="G254" s="129">
        <v>40.020000000000003</v>
      </c>
      <c r="H254" s="129">
        <f t="shared" ca="1" si="17"/>
        <v>50.025000000000006</v>
      </c>
      <c r="I254" s="130" t="s">
        <v>1332</v>
      </c>
      <c r="J254" s="131">
        <v>150.09</v>
      </c>
    </row>
    <row r="255" spans="1:10" ht="40.799999999999997" customHeight="1">
      <c r="A255" s="125" t="s">
        <v>507</v>
      </c>
      <c r="B255" s="126">
        <v>94713</v>
      </c>
      <c r="C255" s="127" t="s">
        <v>508</v>
      </c>
      <c r="D255" s="126" t="s">
        <v>12</v>
      </c>
      <c r="E255" s="126" t="s">
        <v>18</v>
      </c>
      <c r="F255" s="128">
        <v>6</v>
      </c>
      <c r="G255" s="129">
        <v>223.91</v>
      </c>
      <c r="H255" s="129">
        <f t="shared" ca="1" si="17"/>
        <v>279.88749999999999</v>
      </c>
      <c r="I255" s="130" t="s">
        <v>1333</v>
      </c>
      <c r="J255" s="131">
        <v>1679.34</v>
      </c>
    </row>
    <row r="256" spans="1:10" ht="37.799999999999997" customHeight="1">
      <c r="A256" s="125" t="s">
        <v>509</v>
      </c>
      <c r="B256" s="126">
        <v>94714</v>
      </c>
      <c r="C256" s="127" t="s">
        <v>510</v>
      </c>
      <c r="D256" s="126" t="s">
        <v>12</v>
      </c>
      <c r="E256" s="126" t="s">
        <v>18</v>
      </c>
      <c r="F256" s="128">
        <v>2</v>
      </c>
      <c r="G256" s="129">
        <v>310.75</v>
      </c>
      <c r="H256" s="129">
        <f t="shared" ca="1" si="17"/>
        <v>388.4375</v>
      </c>
      <c r="I256" s="130" t="s">
        <v>1334</v>
      </c>
      <c r="J256" s="131">
        <f t="shared" ref="J256:J271" ca="1" si="18">H256*F256</f>
        <v>776.875</v>
      </c>
    </row>
    <row r="257" spans="1:10" ht="30" customHeight="1">
      <c r="A257" s="125" t="s">
        <v>511</v>
      </c>
      <c r="B257" s="126">
        <v>89376</v>
      </c>
      <c r="C257" s="127" t="s">
        <v>512</v>
      </c>
      <c r="D257" s="126" t="s">
        <v>12</v>
      </c>
      <c r="E257" s="126" t="s">
        <v>18</v>
      </c>
      <c r="F257" s="128">
        <v>4</v>
      </c>
      <c r="G257" s="129">
        <v>5.33</v>
      </c>
      <c r="H257" s="129">
        <f t="shared" ca="1" si="17"/>
        <v>6.6624999999999996</v>
      </c>
      <c r="I257" s="130" t="s">
        <v>1335</v>
      </c>
      <c r="J257" s="131">
        <v>26.64</v>
      </c>
    </row>
    <row r="258" spans="1:10" ht="28.8" customHeight="1">
      <c r="A258" s="125" t="s">
        <v>513</v>
      </c>
      <c r="B258" s="126">
        <v>89383</v>
      </c>
      <c r="C258" s="127" t="s">
        <v>514</v>
      </c>
      <c r="D258" s="126" t="s">
        <v>12</v>
      </c>
      <c r="E258" s="126" t="s">
        <v>18</v>
      </c>
      <c r="F258" s="128">
        <v>72</v>
      </c>
      <c r="G258" s="129">
        <v>6.21</v>
      </c>
      <c r="H258" s="129">
        <f t="shared" ca="1" si="17"/>
        <v>7.7625000000000002</v>
      </c>
      <c r="I258" s="130" t="s">
        <v>1144</v>
      </c>
      <c r="J258" s="131">
        <v>558.72</v>
      </c>
    </row>
    <row r="259" spans="1:10" ht="27.6" customHeight="1">
      <c r="A259" s="125" t="s">
        <v>515</v>
      </c>
      <c r="B259" s="126">
        <v>104002</v>
      </c>
      <c r="C259" s="127" t="s">
        <v>516</v>
      </c>
      <c r="D259" s="126" t="s">
        <v>12</v>
      </c>
      <c r="E259" s="126" t="s">
        <v>18</v>
      </c>
      <c r="F259" s="128">
        <v>40</v>
      </c>
      <c r="G259" s="129">
        <v>16.12</v>
      </c>
      <c r="H259" s="129">
        <f t="shared" ca="1" si="17"/>
        <v>20.150000000000002</v>
      </c>
      <c r="I259" s="130" t="s">
        <v>1336</v>
      </c>
      <c r="J259" s="131">
        <f t="shared" ca="1" si="18"/>
        <v>806.00000000000011</v>
      </c>
    </row>
    <row r="260" spans="1:10" ht="28.8" customHeight="1">
      <c r="A260" s="125" t="s">
        <v>517</v>
      </c>
      <c r="B260" s="126">
        <v>89613</v>
      </c>
      <c r="C260" s="127" t="s">
        <v>518</v>
      </c>
      <c r="D260" s="126" t="s">
        <v>12</v>
      </c>
      <c r="E260" s="126" t="s">
        <v>18</v>
      </c>
      <c r="F260" s="128">
        <v>6</v>
      </c>
      <c r="G260" s="129">
        <v>27.72</v>
      </c>
      <c r="H260" s="129">
        <f t="shared" ca="1" si="17"/>
        <v>34.65</v>
      </c>
      <c r="I260" s="130" t="s">
        <v>1337</v>
      </c>
      <c r="J260" s="131">
        <v>207.9</v>
      </c>
    </row>
    <row r="261" spans="1:10" ht="27.6" customHeight="1">
      <c r="A261" s="125" t="s">
        <v>519</v>
      </c>
      <c r="B261" s="126">
        <v>89616</v>
      </c>
      <c r="C261" s="127" t="s">
        <v>520</v>
      </c>
      <c r="D261" s="126" t="s">
        <v>12</v>
      </c>
      <c r="E261" s="126" t="s">
        <v>18</v>
      </c>
      <c r="F261" s="128">
        <v>2</v>
      </c>
      <c r="G261" s="129">
        <v>36.979999999999997</v>
      </c>
      <c r="H261" s="129">
        <f t="shared" ca="1" si="17"/>
        <v>46.224999999999994</v>
      </c>
      <c r="I261" s="130" t="s">
        <v>1338</v>
      </c>
      <c r="J261" s="131">
        <v>92.46</v>
      </c>
    </row>
    <row r="262" spans="1:10" ht="28.2" customHeight="1">
      <c r="A262" s="125" t="s">
        <v>521</v>
      </c>
      <c r="B262" s="126">
        <v>89605</v>
      </c>
      <c r="C262" s="127" t="s">
        <v>522</v>
      </c>
      <c r="D262" s="126" t="s">
        <v>12</v>
      </c>
      <c r="E262" s="126" t="s">
        <v>18</v>
      </c>
      <c r="F262" s="128">
        <v>6</v>
      </c>
      <c r="G262" s="129">
        <v>18.8</v>
      </c>
      <c r="H262" s="129">
        <f t="shared" ca="1" si="17"/>
        <v>23.5</v>
      </c>
      <c r="I262" s="130" t="s">
        <v>1339</v>
      </c>
      <c r="J262" s="131">
        <v>141</v>
      </c>
    </row>
    <row r="263" spans="1:10" ht="22.8">
      <c r="A263" s="125" t="s">
        <v>523</v>
      </c>
      <c r="B263" s="126" t="s">
        <v>524</v>
      </c>
      <c r="C263" s="127" t="s">
        <v>525</v>
      </c>
      <c r="D263" s="126" t="s">
        <v>22</v>
      </c>
      <c r="E263" s="126" t="s">
        <v>18</v>
      </c>
      <c r="F263" s="128">
        <v>2</v>
      </c>
      <c r="G263" s="129">
        <v>13.68</v>
      </c>
      <c r="H263" s="129">
        <f t="shared" ca="1" si="17"/>
        <v>17.100000000000001</v>
      </c>
      <c r="I263" s="130" t="s">
        <v>1340</v>
      </c>
      <c r="J263" s="131">
        <f t="shared" ca="1" si="18"/>
        <v>34.200000000000003</v>
      </c>
    </row>
    <row r="264" spans="1:10" ht="22.8">
      <c r="A264" s="125" t="s">
        <v>526</v>
      </c>
      <c r="B264" s="126" t="s">
        <v>527</v>
      </c>
      <c r="C264" s="127" t="s">
        <v>528</v>
      </c>
      <c r="D264" s="126" t="s">
        <v>22</v>
      </c>
      <c r="E264" s="126" t="s">
        <v>18</v>
      </c>
      <c r="F264" s="128">
        <v>4</v>
      </c>
      <c r="G264" s="129">
        <v>13.68</v>
      </c>
      <c r="H264" s="129">
        <f t="shared" ca="1" si="17"/>
        <v>17.100000000000001</v>
      </c>
      <c r="I264" s="130" t="s">
        <v>1341</v>
      </c>
      <c r="J264" s="131">
        <f t="shared" ca="1" si="18"/>
        <v>68.400000000000006</v>
      </c>
    </row>
    <row r="265" spans="1:10" ht="22.8">
      <c r="A265" s="125" t="s">
        <v>529</v>
      </c>
      <c r="B265" s="126">
        <v>103998</v>
      </c>
      <c r="C265" s="127" t="s">
        <v>530</v>
      </c>
      <c r="D265" s="126" t="s">
        <v>12</v>
      </c>
      <c r="E265" s="126" t="s">
        <v>18</v>
      </c>
      <c r="F265" s="128">
        <v>30</v>
      </c>
      <c r="G265" s="129">
        <v>13.46</v>
      </c>
      <c r="H265" s="129">
        <f t="shared" ca="1" si="17"/>
        <v>16.825000000000003</v>
      </c>
      <c r="I265" s="130" t="s">
        <v>1342</v>
      </c>
      <c r="J265" s="131">
        <v>504.9</v>
      </c>
    </row>
    <row r="266" spans="1:10" ht="22.8">
      <c r="A266" s="125" t="s">
        <v>531</v>
      </c>
      <c r="B266" s="126">
        <v>103969</v>
      </c>
      <c r="C266" s="127" t="s">
        <v>532</v>
      </c>
      <c r="D266" s="126" t="s">
        <v>12</v>
      </c>
      <c r="E266" s="126" t="s">
        <v>18</v>
      </c>
      <c r="F266" s="128">
        <v>1</v>
      </c>
      <c r="G266" s="129">
        <v>17.98</v>
      </c>
      <c r="H266" s="129">
        <f t="shared" ca="1" si="17"/>
        <v>22.475000000000001</v>
      </c>
      <c r="I266" s="130" t="s">
        <v>1343</v>
      </c>
      <c r="J266" s="131">
        <f t="shared" ca="1" si="18"/>
        <v>22.475000000000001</v>
      </c>
    </row>
    <row r="267" spans="1:10" ht="22.8">
      <c r="A267" s="125" t="s">
        <v>533</v>
      </c>
      <c r="B267" s="126">
        <v>103972</v>
      </c>
      <c r="C267" s="127" t="s">
        <v>534</v>
      </c>
      <c r="D267" s="126" t="s">
        <v>12</v>
      </c>
      <c r="E267" s="126" t="s">
        <v>18</v>
      </c>
      <c r="F267" s="128">
        <v>5</v>
      </c>
      <c r="G267" s="129">
        <v>26.43</v>
      </c>
      <c r="H267" s="129">
        <f t="shared" ca="1" si="17"/>
        <v>33.037500000000001</v>
      </c>
      <c r="I267" s="130" t="s">
        <v>1344</v>
      </c>
      <c r="J267" s="131">
        <v>165.2</v>
      </c>
    </row>
    <row r="268" spans="1:10" ht="25.8" customHeight="1">
      <c r="A268" s="125" t="s">
        <v>535</v>
      </c>
      <c r="B268" s="126">
        <v>89485</v>
      </c>
      <c r="C268" s="127" t="s">
        <v>536</v>
      </c>
      <c r="D268" s="126" t="s">
        <v>12</v>
      </c>
      <c r="E268" s="126" t="s">
        <v>18</v>
      </c>
      <c r="F268" s="128">
        <v>3</v>
      </c>
      <c r="G268" s="129">
        <v>5.72</v>
      </c>
      <c r="H268" s="129">
        <f t="shared" ca="1" si="17"/>
        <v>7.1499999999999995</v>
      </c>
      <c r="I268" s="130" t="s">
        <v>1345</v>
      </c>
      <c r="J268" s="131">
        <f t="shared" ca="1" si="18"/>
        <v>21.45</v>
      </c>
    </row>
    <row r="269" spans="1:10" ht="31.8" customHeight="1">
      <c r="A269" s="125" t="s">
        <v>537</v>
      </c>
      <c r="B269" s="126">
        <v>89502</v>
      </c>
      <c r="C269" s="127" t="s">
        <v>538</v>
      </c>
      <c r="D269" s="126" t="s">
        <v>12</v>
      </c>
      <c r="E269" s="126" t="s">
        <v>18</v>
      </c>
      <c r="F269" s="128">
        <v>2</v>
      </c>
      <c r="G269" s="129">
        <v>15.56</v>
      </c>
      <c r="H269" s="129">
        <f t="shared" ca="1" si="17"/>
        <v>19.45</v>
      </c>
      <c r="I269" s="130" t="s">
        <v>1140</v>
      </c>
      <c r="J269" s="131">
        <v>38.9</v>
      </c>
    </row>
    <row r="270" spans="1:10" ht="28.2" customHeight="1">
      <c r="A270" s="125" t="s">
        <v>539</v>
      </c>
      <c r="B270" s="126">
        <v>89515</v>
      </c>
      <c r="C270" s="127" t="s">
        <v>540</v>
      </c>
      <c r="D270" s="126" t="s">
        <v>12</v>
      </c>
      <c r="E270" s="126" t="s">
        <v>18</v>
      </c>
      <c r="F270" s="128">
        <v>8</v>
      </c>
      <c r="G270" s="129">
        <v>75.349999999999994</v>
      </c>
      <c r="H270" s="129">
        <f t="shared" ca="1" si="17"/>
        <v>94.1875</v>
      </c>
      <c r="I270" s="130" t="s">
        <v>1346</v>
      </c>
      <c r="J270" s="131">
        <v>753.52</v>
      </c>
    </row>
    <row r="271" spans="1:10" ht="31.2" customHeight="1">
      <c r="A271" s="125" t="s">
        <v>541</v>
      </c>
      <c r="B271" s="126">
        <v>89523</v>
      </c>
      <c r="C271" s="127" t="s">
        <v>542</v>
      </c>
      <c r="D271" s="126" t="s">
        <v>12</v>
      </c>
      <c r="E271" s="126" t="s">
        <v>18</v>
      </c>
      <c r="F271" s="128">
        <v>2</v>
      </c>
      <c r="G271" s="129">
        <v>92.08</v>
      </c>
      <c r="H271" s="129">
        <f t="shared" ca="1" si="17"/>
        <v>115.1</v>
      </c>
      <c r="I271" s="130" t="s">
        <v>1347</v>
      </c>
      <c r="J271" s="131">
        <f t="shared" ca="1" si="18"/>
        <v>230.2</v>
      </c>
    </row>
    <row r="272" spans="1:10" ht="31.2" customHeight="1">
      <c r="A272" s="125" t="s">
        <v>543</v>
      </c>
      <c r="B272" s="126">
        <v>89358</v>
      </c>
      <c r="C272" s="127" t="s">
        <v>544</v>
      </c>
      <c r="D272" s="126" t="s">
        <v>12</v>
      </c>
      <c r="E272" s="126" t="s">
        <v>18</v>
      </c>
      <c r="F272" s="128">
        <v>4</v>
      </c>
      <c r="G272" s="129">
        <v>7.55</v>
      </c>
      <c r="H272" s="129">
        <f t="shared" ca="1" si="17"/>
        <v>9.4375</v>
      </c>
      <c r="I272" s="130" t="s">
        <v>1348</v>
      </c>
      <c r="J272" s="131">
        <v>37.76</v>
      </c>
    </row>
    <row r="273" spans="1:10" ht="31.8" customHeight="1">
      <c r="A273" s="125" t="s">
        <v>545</v>
      </c>
      <c r="B273" s="126">
        <v>89358</v>
      </c>
      <c r="C273" s="127" t="s">
        <v>544</v>
      </c>
      <c r="D273" s="126" t="s">
        <v>12</v>
      </c>
      <c r="E273" s="126" t="s">
        <v>18</v>
      </c>
      <c r="F273" s="128">
        <v>4</v>
      </c>
      <c r="G273" s="129">
        <v>7.55</v>
      </c>
      <c r="H273" s="129">
        <f t="shared" ca="1" si="17"/>
        <v>9.4375</v>
      </c>
      <c r="I273" s="130" t="s">
        <v>1348</v>
      </c>
      <c r="J273" s="131">
        <v>37.76</v>
      </c>
    </row>
    <row r="274" spans="1:10" ht="29.4" customHeight="1">
      <c r="A274" s="125" t="s">
        <v>546</v>
      </c>
      <c r="B274" s="126">
        <v>89501</v>
      </c>
      <c r="C274" s="127" t="s">
        <v>547</v>
      </c>
      <c r="D274" s="126" t="s">
        <v>12</v>
      </c>
      <c r="E274" s="126" t="s">
        <v>18</v>
      </c>
      <c r="F274" s="128">
        <v>28</v>
      </c>
      <c r="G274" s="129">
        <v>13.2</v>
      </c>
      <c r="H274" s="129">
        <f t="shared" ca="1" si="17"/>
        <v>16.5</v>
      </c>
      <c r="I274" s="130" t="s">
        <v>1349</v>
      </c>
      <c r="J274" s="131">
        <v>462</v>
      </c>
    </row>
    <row r="275" spans="1:10" ht="31.2" customHeight="1">
      <c r="A275" s="125" t="s">
        <v>548</v>
      </c>
      <c r="B275" s="126">
        <v>89505</v>
      </c>
      <c r="C275" s="127" t="s">
        <v>549</v>
      </c>
      <c r="D275" s="126" t="s">
        <v>12</v>
      </c>
      <c r="E275" s="126" t="s">
        <v>18</v>
      </c>
      <c r="F275" s="128">
        <v>4</v>
      </c>
      <c r="G275" s="129">
        <v>37.81</v>
      </c>
      <c r="H275" s="129">
        <f t="shared" ca="1" si="17"/>
        <v>47.262500000000003</v>
      </c>
      <c r="I275" s="130" t="s">
        <v>1350</v>
      </c>
      <c r="J275" s="131">
        <v>189.04</v>
      </c>
    </row>
    <row r="276" spans="1:10" ht="43.8" customHeight="1">
      <c r="A276" s="125" t="s">
        <v>550</v>
      </c>
      <c r="B276" s="126">
        <v>94682</v>
      </c>
      <c r="C276" s="127" t="s">
        <v>551</v>
      </c>
      <c r="D276" s="126" t="s">
        <v>12</v>
      </c>
      <c r="E276" s="126" t="s">
        <v>18</v>
      </c>
      <c r="F276" s="128">
        <v>26</v>
      </c>
      <c r="G276" s="129">
        <v>99.61</v>
      </c>
      <c r="H276" s="129">
        <f t="shared" ca="1" si="17"/>
        <v>124.5125</v>
      </c>
      <c r="I276" s="130" t="s">
        <v>1351</v>
      </c>
      <c r="J276" s="131">
        <v>3237.26</v>
      </c>
    </row>
    <row r="277" spans="1:10" ht="43.8" customHeight="1">
      <c r="A277" s="125" t="s">
        <v>552</v>
      </c>
      <c r="B277" s="126">
        <v>94684</v>
      </c>
      <c r="C277" s="127" t="s">
        <v>553</v>
      </c>
      <c r="D277" s="126" t="s">
        <v>12</v>
      </c>
      <c r="E277" s="126" t="s">
        <v>18</v>
      </c>
      <c r="F277" s="128">
        <v>6</v>
      </c>
      <c r="G277" s="129">
        <v>130.28</v>
      </c>
      <c r="H277" s="129">
        <f t="shared" ca="1" si="17"/>
        <v>162.85</v>
      </c>
      <c r="I277" s="130" t="s">
        <v>1352</v>
      </c>
      <c r="J277" s="131">
        <v>977.1</v>
      </c>
    </row>
    <row r="278" spans="1:10" ht="32.4" customHeight="1">
      <c r="A278" s="125" t="s">
        <v>554</v>
      </c>
      <c r="B278" s="126">
        <v>90373</v>
      </c>
      <c r="C278" s="127" t="s">
        <v>555</v>
      </c>
      <c r="D278" s="126" t="s">
        <v>12</v>
      </c>
      <c r="E278" s="126" t="s">
        <v>18</v>
      </c>
      <c r="F278" s="128">
        <v>47</v>
      </c>
      <c r="G278" s="129">
        <v>12.2</v>
      </c>
      <c r="H278" s="129">
        <f t="shared" ca="1" si="17"/>
        <v>15.25</v>
      </c>
      <c r="I278" s="130" t="s">
        <v>1353</v>
      </c>
      <c r="J278" s="131">
        <v>716.75</v>
      </c>
    </row>
    <row r="279" spans="1:10" ht="35.4" customHeight="1">
      <c r="A279" s="125" t="s">
        <v>556</v>
      </c>
      <c r="B279" s="126">
        <v>90373</v>
      </c>
      <c r="C279" s="127" t="s">
        <v>555</v>
      </c>
      <c r="D279" s="126" t="s">
        <v>12</v>
      </c>
      <c r="E279" s="126" t="s">
        <v>18</v>
      </c>
      <c r="F279" s="128">
        <v>12</v>
      </c>
      <c r="G279" s="129">
        <v>12.2</v>
      </c>
      <c r="H279" s="129">
        <f t="shared" ca="1" si="17"/>
        <v>15.25</v>
      </c>
      <c r="I279" s="130" t="s">
        <v>1354</v>
      </c>
      <c r="J279" s="131">
        <v>183</v>
      </c>
    </row>
    <row r="280" spans="1:10" ht="28.8" customHeight="1">
      <c r="A280" s="125" t="s">
        <v>557</v>
      </c>
      <c r="B280" s="126">
        <v>89395</v>
      </c>
      <c r="C280" s="127" t="s">
        <v>558</v>
      </c>
      <c r="D280" s="126" t="s">
        <v>12</v>
      </c>
      <c r="E280" s="126" t="s">
        <v>18</v>
      </c>
      <c r="F280" s="128">
        <v>17</v>
      </c>
      <c r="G280" s="129">
        <v>12.33</v>
      </c>
      <c r="H280" s="129">
        <f t="shared" ca="1" si="17"/>
        <v>15.4125</v>
      </c>
      <c r="I280" s="130" t="s">
        <v>1355</v>
      </c>
      <c r="J280" s="131">
        <v>261.97000000000003</v>
      </c>
    </row>
    <row r="281" spans="1:10" ht="30" customHeight="1">
      <c r="A281" s="125" t="s">
        <v>559</v>
      </c>
      <c r="B281" s="126">
        <v>89625</v>
      </c>
      <c r="C281" s="127" t="s">
        <v>560</v>
      </c>
      <c r="D281" s="126" t="s">
        <v>12</v>
      </c>
      <c r="E281" s="126" t="s">
        <v>18</v>
      </c>
      <c r="F281" s="128">
        <v>14</v>
      </c>
      <c r="G281" s="129">
        <v>20.85</v>
      </c>
      <c r="H281" s="129">
        <f t="shared" ca="1" si="17"/>
        <v>26.0625</v>
      </c>
      <c r="I281" s="130" t="s">
        <v>1356</v>
      </c>
      <c r="J281" s="131">
        <v>364.84</v>
      </c>
    </row>
    <row r="282" spans="1:10" ht="33" customHeight="1">
      <c r="A282" s="125" t="s">
        <v>561</v>
      </c>
      <c r="B282" s="126">
        <v>89629</v>
      </c>
      <c r="C282" s="127" t="s">
        <v>562</v>
      </c>
      <c r="D282" s="126" t="s">
        <v>12</v>
      </c>
      <c r="E282" s="126" t="s">
        <v>18</v>
      </c>
      <c r="F282" s="128">
        <v>7</v>
      </c>
      <c r="G282" s="129">
        <v>73.31</v>
      </c>
      <c r="H282" s="129">
        <f t="shared" ca="1" si="17"/>
        <v>91.637500000000003</v>
      </c>
      <c r="I282" s="130" t="s">
        <v>1357</v>
      </c>
      <c r="J282" s="131">
        <v>641.48</v>
      </c>
    </row>
    <row r="283" spans="1:10" ht="30" customHeight="1">
      <c r="A283" s="125" t="s">
        <v>563</v>
      </c>
      <c r="B283" s="126">
        <v>89631</v>
      </c>
      <c r="C283" s="127" t="s">
        <v>564</v>
      </c>
      <c r="D283" s="126" t="s">
        <v>12</v>
      </c>
      <c r="E283" s="126" t="s">
        <v>18</v>
      </c>
      <c r="F283" s="128">
        <v>4</v>
      </c>
      <c r="G283" s="129">
        <v>96.15</v>
      </c>
      <c r="H283" s="129">
        <f t="shared" ca="1" si="17"/>
        <v>120.1875</v>
      </c>
      <c r="I283" s="130" t="s">
        <v>1358</v>
      </c>
      <c r="J283" s="131">
        <v>480.76</v>
      </c>
    </row>
    <row r="284" spans="1:10" ht="30" customHeight="1">
      <c r="A284" s="125" t="s">
        <v>565</v>
      </c>
      <c r="B284" s="126">
        <v>89627</v>
      </c>
      <c r="C284" s="127" t="s">
        <v>566</v>
      </c>
      <c r="D284" s="126" t="s">
        <v>12</v>
      </c>
      <c r="E284" s="126" t="s">
        <v>18</v>
      </c>
      <c r="F284" s="128">
        <v>10</v>
      </c>
      <c r="G284" s="129">
        <v>18.46</v>
      </c>
      <c r="H284" s="129">
        <f t="shared" ca="1" si="17"/>
        <v>23.075000000000003</v>
      </c>
      <c r="I284" s="130" t="s">
        <v>1359</v>
      </c>
      <c r="J284" s="131">
        <v>230.8</v>
      </c>
    </row>
    <row r="285" spans="1:10" ht="34.799999999999997" customHeight="1">
      <c r="A285" s="125" t="s">
        <v>567</v>
      </c>
      <c r="B285" s="126">
        <v>89630</v>
      </c>
      <c r="C285" s="127" t="s">
        <v>568</v>
      </c>
      <c r="D285" s="126" t="s">
        <v>12</v>
      </c>
      <c r="E285" s="126" t="s">
        <v>18</v>
      </c>
      <c r="F285" s="128">
        <v>2</v>
      </c>
      <c r="G285" s="129">
        <v>55.66</v>
      </c>
      <c r="H285" s="129">
        <f t="shared" ca="1" si="17"/>
        <v>69.574999999999989</v>
      </c>
      <c r="I285" s="130" t="s">
        <v>1360</v>
      </c>
      <c r="J285" s="131">
        <v>139.16</v>
      </c>
    </row>
    <row r="286" spans="1:10" ht="33" customHeight="1">
      <c r="A286" s="125" t="s">
        <v>569</v>
      </c>
      <c r="B286" s="126">
        <v>89630</v>
      </c>
      <c r="C286" s="127" t="s">
        <v>568</v>
      </c>
      <c r="D286" s="126" t="s">
        <v>12</v>
      </c>
      <c r="E286" s="126" t="s">
        <v>18</v>
      </c>
      <c r="F286" s="128">
        <v>13</v>
      </c>
      <c r="G286" s="129">
        <v>55.66</v>
      </c>
      <c r="H286" s="129">
        <f t="shared" ca="1" si="17"/>
        <v>69.574999999999989</v>
      </c>
      <c r="I286" s="130" t="s">
        <v>1361</v>
      </c>
      <c r="J286" s="131">
        <v>904.54</v>
      </c>
    </row>
    <row r="287" spans="1:10" ht="31.2" customHeight="1">
      <c r="A287" s="125" t="s">
        <v>570</v>
      </c>
      <c r="B287" s="126" t="s">
        <v>571</v>
      </c>
      <c r="C287" s="127" t="s">
        <v>572</v>
      </c>
      <c r="D287" s="126" t="s">
        <v>22</v>
      </c>
      <c r="E287" s="126" t="s">
        <v>18</v>
      </c>
      <c r="F287" s="128">
        <v>3</v>
      </c>
      <c r="G287" s="129">
        <v>27.55</v>
      </c>
      <c r="H287" s="129">
        <f t="shared" ca="1" si="17"/>
        <v>34.4375</v>
      </c>
      <c r="I287" s="130" t="s">
        <v>1362</v>
      </c>
      <c r="J287" s="131">
        <v>103.32</v>
      </c>
    </row>
    <row r="288" spans="1:10" ht="27.6" customHeight="1">
      <c r="A288" s="125" t="s">
        <v>573</v>
      </c>
      <c r="B288" s="126">
        <v>90374</v>
      </c>
      <c r="C288" s="127" t="s">
        <v>574</v>
      </c>
      <c r="D288" s="126" t="s">
        <v>12</v>
      </c>
      <c r="E288" s="126" t="s">
        <v>18</v>
      </c>
      <c r="F288" s="128">
        <v>8</v>
      </c>
      <c r="G288" s="129">
        <v>20.72</v>
      </c>
      <c r="H288" s="129">
        <f t="shared" ca="1" si="17"/>
        <v>25.9</v>
      </c>
      <c r="I288" s="130" t="s">
        <v>1363</v>
      </c>
      <c r="J288" s="131">
        <v>207.2</v>
      </c>
    </row>
    <row r="289" spans="1:10" ht="29.4" customHeight="1">
      <c r="A289" s="125" t="s">
        <v>575</v>
      </c>
      <c r="B289" s="126">
        <v>89396</v>
      </c>
      <c r="C289" s="127" t="s">
        <v>576</v>
      </c>
      <c r="D289" s="126" t="s">
        <v>12</v>
      </c>
      <c r="E289" s="126" t="s">
        <v>18</v>
      </c>
      <c r="F289" s="128">
        <v>9</v>
      </c>
      <c r="G289" s="129">
        <v>19.11</v>
      </c>
      <c r="H289" s="129">
        <f t="shared" ca="1" si="17"/>
        <v>23.887499999999999</v>
      </c>
      <c r="I289" s="130" t="s">
        <v>1364</v>
      </c>
      <c r="J289" s="131">
        <v>215.01</v>
      </c>
    </row>
    <row r="290" spans="1:10" ht="20.100000000000001" customHeight="1">
      <c r="A290" s="122" t="s">
        <v>577</v>
      </c>
      <c r="B290" s="141" t="s">
        <v>578</v>
      </c>
      <c r="C290" s="141"/>
      <c r="D290" s="141"/>
      <c r="E290" s="141"/>
      <c r="F290" s="141"/>
      <c r="G290" s="141"/>
      <c r="H290" s="122"/>
      <c r="I290" s="123">
        <v>8225.68</v>
      </c>
      <c r="J290" s="124">
        <f>SUM(J291:J296)</f>
        <v>10282.285999999998</v>
      </c>
    </row>
    <row r="291" spans="1:10" ht="29.4" customHeight="1">
      <c r="A291" s="125" t="s">
        <v>579</v>
      </c>
      <c r="B291" s="126">
        <v>94499</v>
      </c>
      <c r="C291" s="127" t="s">
        <v>580</v>
      </c>
      <c r="D291" s="126" t="s">
        <v>12</v>
      </c>
      <c r="E291" s="126" t="s">
        <v>18</v>
      </c>
      <c r="F291" s="128">
        <v>3</v>
      </c>
      <c r="G291" s="129">
        <v>396.1</v>
      </c>
      <c r="H291" s="129">
        <f t="shared" ca="1" si="17"/>
        <v>495.125</v>
      </c>
      <c r="I291" s="130" t="s">
        <v>1365</v>
      </c>
      <c r="J291" s="131">
        <v>1485.39</v>
      </c>
    </row>
    <row r="292" spans="1:10" ht="29.4" customHeight="1">
      <c r="A292" s="125" t="s">
        <v>581</v>
      </c>
      <c r="B292" s="126">
        <v>94500</v>
      </c>
      <c r="C292" s="127" t="s">
        <v>582</v>
      </c>
      <c r="D292" s="126" t="s">
        <v>12</v>
      </c>
      <c r="E292" s="126" t="s">
        <v>18</v>
      </c>
      <c r="F292" s="128">
        <v>1</v>
      </c>
      <c r="G292" s="129">
        <v>480.45</v>
      </c>
      <c r="H292" s="129">
        <f t="shared" ca="1" si="17"/>
        <v>600.5625</v>
      </c>
      <c r="I292" s="130" t="s">
        <v>1366</v>
      </c>
      <c r="J292" s="131">
        <v>600.55600000000004</v>
      </c>
    </row>
    <row r="293" spans="1:10" ht="32.4" customHeight="1">
      <c r="A293" s="125" t="s">
        <v>583</v>
      </c>
      <c r="B293" s="126">
        <v>89986</v>
      </c>
      <c r="C293" s="127" t="s">
        <v>584</v>
      </c>
      <c r="D293" s="126" t="s">
        <v>12</v>
      </c>
      <c r="E293" s="126" t="s">
        <v>18</v>
      </c>
      <c r="F293" s="128">
        <v>2</v>
      </c>
      <c r="G293" s="129">
        <v>111.93</v>
      </c>
      <c r="H293" s="129">
        <f t="shared" ca="1" si="17"/>
        <v>139.91250000000002</v>
      </c>
      <c r="I293" s="130" t="s">
        <v>1367</v>
      </c>
      <c r="J293" s="131">
        <v>279.82</v>
      </c>
    </row>
    <row r="294" spans="1:10" ht="29.4" customHeight="1">
      <c r="A294" s="125" t="s">
        <v>585</v>
      </c>
      <c r="B294" s="126">
        <v>94794</v>
      </c>
      <c r="C294" s="127" t="s">
        <v>586</v>
      </c>
      <c r="D294" s="126" t="s">
        <v>12</v>
      </c>
      <c r="E294" s="126" t="s">
        <v>18</v>
      </c>
      <c r="F294" s="128">
        <v>8</v>
      </c>
      <c r="G294" s="129">
        <v>225.14</v>
      </c>
      <c r="H294" s="129">
        <f t="shared" ca="1" si="17"/>
        <v>281.42499999999995</v>
      </c>
      <c r="I294" s="130" t="s">
        <v>1368</v>
      </c>
      <c r="J294" s="131">
        <v>2251.44</v>
      </c>
    </row>
    <row r="295" spans="1:10" ht="31.8" customHeight="1">
      <c r="A295" s="125" t="s">
        <v>587</v>
      </c>
      <c r="B295" s="126">
        <v>89987</v>
      </c>
      <c r="C295" s="127" t="s">
        <v>588</v>
      </c>
      <c r="D295" s="126" t="s">
        <v>12</v>
      </c>
      <c r="E295" s="126" t="s">
        <v>18</v>
      </c>
      <c r="F295" s="128">
        <v>30</v>
      </c>
      <c r="G295" s="129">
        <v>126.99</v>
      </c>
      <c r="H295" s="129">
        <f t="shared" ca="1" si="17"/>
        <v>158.73749999999998</v>
      </c>
      <c r="I295" s="130" t="s">
        <v>1369</v>
      </c>
      <c r="J295" s="131">
        <v>4762.2</v>
      </c>
    </row>
    <row r="296" spans="1:10" ht="29.4" customHeight="1">
      <c r="A296" s="125" t="s">
        <v>589</v>
      </c>
      <c r="B296" s="126">
        <v>89985</v>
      </c>
      <c r="C296" s="127" t="s">
        <v>590</v>
      </c>
      <c r="D296" s="126" t="s">
        <v>12</v>
      </c>
      <c r="E296" s="126" t="s">
        <v>18</v>
      </c>
      <c r="F296" s="128">
        <v>6</v>
      </c>
      <c r="G296" s="129">
        <v>120.38</v>
      </c>
      <c r="H296" s="129">
        <f t="shared" ca="1" si="17"/>
        <v>150.47499999999999</v>
      </c>
      <c r="I296" s="130" t="s">
        <v>1370</v>
      </c>
      <c r="J296" s="131">
        <v>902.88</v>
      </c>
    </row>
    <row r="297" spans="1:10" ht="20.100000000000001" customHeight="1">
      <c r="A297" s="122" t="s">
        <v>591</v>
      </c>
      <c r="B297" s="141" t="s">
        <v>592</v>
      </c>
      <c r="C297" s="141"/>
      <c r="D297" s="141"/>
      <c r="E297" s="141"/>
      <c r="F297" s="141"/>
      <c r="G297" s="141"/>
      <c r="H297" s="122"/>
      <c r="I297" s="123">
        <v>40508.699999999997</v>
      </c>
      <c r="J297" s="124">
        <f>SUM(J298)</f>
        <v>50635.88</v>
      </c>
    </row>
    <row r="298" spans="1:10">
      <c r="A298" s="125" t="s">
        <v>593</v>
      </c>
      <c r="B298" s="126" t="s">
        <v>594</v>
      </c>
      <c r="C298" s="127" t="s">
        <v>595</v>
      </c>
      <c r="D298" s="126" t="s">
        <v>22</v>
      </c>
      <c r="E298" s="126" t="s">
        <v>18</v>
      </c>
      <c r="F298" s="128">
        <v>1</v>
      </c>
      <c r="G298" s="129">
        <v>40508.699999999997</v>
      </c>
      <c r="H298" s="129">
        <f t="shared" ca="1" si="17"/>
        <v>50635.875</v>
      </c>
      <c r="I298" s="130" t="s">
        <v>1371</v>
      </c>
      <c r="J298" s="131">
        <v>50635.88</v>
      </c>
    </row>
    <row r="299" spans="1:10" ht="20.100000000000001" customHeight="1">
      <c r="A299" s="122">
        <v>13</v>
      </c>
      <c r="B299" s="141" t="s">
        <v>596</v>
      </c>
      <c r="C299" s="141"/>
      <c r="D299" s="141"/>
      <c r="E299" s="141"/>
      <c r="F299" s="141"/>
      <c r="G299" s="141"/>
      <c r="H299" s="122"/>
      <c r="I299" s="123">
        <v>15546.36</v>
      </c>
      <c r="J299" s="124">
        <f ca="1">SUM(J300,J307)</f>
        <v>19433.73</v>
      </c>
    </row>
    <row r="300" spans="1:10" ht="20.100000000000001" customHeight="1">
      <c r="A300" s="122" t="s">
        <v>597</v>
      </c>
      <c r="B300" s="141" t="s">
        <v>598</v>
      </c>
      <c r="C300" s="141"/>
      <c r="D300" s="141"/>
      <c r="E300" s="141"/>
      <c r="F300" s="141"/>
      <c r="G300" s="141"/>
      <c r="H300" s="122"/>
      <c r="I300" s="123">
        <v>10299.040000000001</v>
      </c>
      <c r="J300" s="124">
        <f ca="1">SUM(J301:J306)</f>
        <v>12873.94</v>
      </c>
    </row>
    <row r="301" spans="1:10" ht="28.2" customHeight="1">
      <c r="A301" s="125" t="s">
        <v>599</v>
      </c>
      <c r="B301" s="126">
        <v>89578</v>
      </c>
      <c r="C301" s="127" t="s">
        <v>600</v>
      </c>
      <c r="D301" s="126" t="s">
        <v>12</v>
      </c>
      <c r="E301" s="126" t="s">
        <v>25</v>
      </c>
      <c r="F301" s="128">
        <v>246.6</v>
      </c>
      <c r="G301" s="129">
        <v>30.04</v>
      </c>
      <c r="H301" s="129">
        <f t="shared" ref="H301:H309" ca="1" si="19">(G301*I$5)+G301</f>
        <v>37.549999999999997</v>
      </c>
      <c r="I301" s="130" t="s">
        <v>1372</v>
      </c>
      <c r="J301" s="131">
        <v>9259.83</v>
      </c>
    </row>
    <row r="302" spans="1:10" ht="32.4" customHeight="1">
      <c r="A302" s="125" t="s">
        <v>601</v>
      </c>
      <c r="B302" s="126">
        <v>89580</v>
      </c>
      <c r="C302" s="127" t="s">
        <v>602</v>
      </c>
      <c r="D302" s="126" t="s">
        <v>12</v>
      </c>
      <c r="E302" s="126" t="s">
        <v>25</v>
      </c>
      <c r="F302" s="128">
        <v>3</v>
      </c>
      <c r="G302" s="129">
        <v>62.06</v>
      </c>
      <c r="H302" s="129">
        <f t="shared" ca="1" si="19"/>
        <v>77.575000000000003</v>
      </c>
      <c r="I302" s="130" t="s">
        <v>1373</v>
      </c>
      <c r="J302" s="131">
        <v>232.74</v>
      </c>
    </row>
    <row r="303" spans="1:10" ht="34.799999999999997" customHeight="1">
      <c r="A303" s="125" t="s">
        <v>603</v>
      </c>
      <c r="B303" s="126">
        <v>89585</v>
      </c>
      <c r="C303" s="127" t="s">
        <v>604</v>
      </c>
      <c r="D303" s="126" t="s">
        <v>12</v>
      </c>
      <c r="E303" s="126" t="s">
        <v>18</v>
      </c>
      <c r="F303" s="128">
        <v>11</v>
      </c>
      <c r="G303" s="129">
        <v>41.32</v>
      </c>
      <c r="H303" s="129">
        <f t="shared" ca="1" si="19"/>
        <v>51.65</v>
      </c>
      <c r="I303" s="130" t="s">
        <v>1374</v>
      </c>
      <c r="J303" s="131">
        <v>568.15</v>
      </c>
    </row>
    <row r="304" spans="1:10" ht="28.8" customHeight="1">
      <c r="A304" s="125" t="s">
        <v>605</v>
      </c>
      <c r="B304" s="126">
        <v>89584</v>
      </c>
      <c r="C304" s="127" t="s">
        <v>606</v>
      </c>
      <c r="D304" s="126" t="s">
        <v>12</v>
      </c>
      <c r="E304" s="126" t="s">
        <v>18</v>
      </c>
      <c r="F304" s="128">
        <v>47</v>
      </c>
      <c r="G304" s="129">
        <v>40.39</v>
      </c>
      <c r="H304" s="129">
        <f t="shared" ca="1" si="19"/>
        <v>50.487499999999997</v>
      </c>
      <c r="I304" s="130" t="s">
        <v>1375</v>
      </c>
      <c r="J304" s="131">
        <v>2373.0300000000002</v>
      </c>
    </row>
    <row r="305" spans="1:10" ht="22.8">
      <c r="A305" s="125" t="s">
        <v>607</v>
      </c>
      <c r="B305" s="126">
        <v>89567</v>
      </c>
      <c r="C305" s="127" t="s">
        <v>608</v>
      </c>
      <c r="D305" s="126" t="s">
        <v>12</v>
      </c>
      <c r="E305" s="126" t="s">
        <v>18</v>
      </c>
      <c r="F305" s="128">
        <v>4</v>
      </c>
      <c r="G305" s="129">
        <v>71.97</v>
      </c>
      <c r="H305" s="129">
        <f t="shared" ca="1" si="19"/>
        <v>89.962500000000006</v>
      </c>
      <c r="I305" s="130" t="s">
        <v>1376</v>
      </c>
      <c r="J305" s="131">
        <v>359.84</v>
      </c>
    </row>
    <row r="306" spans="1:10" ht="32.4" customHeight="1">
      <c r="A306" s="125" t="s">
        <v>609</v>
      </c>
      <c r="B306" s="126">
        <v>89675</v>
      </c>
      <c r="C306" s="127" t="s">
        <v>610</v>
      </c>
      <c r="D306" s="126" t="s">
        <v>12</v>
      </c>
      <c r="E306" s="126" t="s">
        <v>18</v>
      </c>
      <c r="F306" s="128">
        <v>1</v>
      </c>
      <c r="G306" s="129">
        <v>64.28</v>
      </c>
      <c r="H306" s="129">
        <f t="shared" ca="1" si="19"/>
        <v>80.349999999999994</v>
      </c>
      <c r="I306" s="130" t="s">
        <v>1377</v>
      </c>
      <c r="J306" s="131">
        <f t="shared" ref="J306" ca="1" si="20">H306*F306</f>
        <v>80.349999999999994</v>
      </c>
    </row>
    <row r="307" spans="1:10" ht="20.100000000000001" customHeight="1">
      <c r="A307" s="122" t="s">
        <v>611</v>
      </c>
      <c r="B307" s="141" t="s">
        <v>612</v>
      </c>
      <c r="C307" s="141"/>
      <c r="D307" s="141"/>
      <c r="E307" s="141"/>
      <c r="F307" s="141"/>
      <c r="G307" s="141"/>
      <c r="H307" s="122"/>
      <c r="I307" s="123">
        <v>5247.32</v>
      </c>
      <c r="J307" s="124">
        <f>SUM(J308:J309)</f>
        <v>6559.79</v>
      </c>
    </row>
    <row r="308" spans="1:10" ht="33.6" customHeight="1">
      <c r="A308" s="125" t="s">
        <v>613</v>
      </c>
      <c r="B308" s="126">
        <v>99253</v>
      </c>
      <c r="C308" s="127" t="s">
        <v>614</v>
      </c>
      <c r="D308" s="126" t="s">
        <v>12</v>
      </c>
      <c r="E308" s="126" t="s">
        <v>18</v>
      </c>
      <c r="F308" s="128">
        <v>9</v>
      </c>
      <c r="G308" s="129">
        <v>539.54999999999995</v>
      </c>
      <c r="H308" s="129">
        <f t="shared" ca="1" si="19"/>
        <v>674.4375</v>
      </c>
      <c r="I308" s="130" t="s">
        <v>1378</v>
      </c>
      <c r="J308" s="131">
        <v>6069.96</v>
      </c>
    </row>
    <row r="309" spans="1:10" ht="27.6" customHeight="1">
      <c r="A309" s="125" t="s">
        <v>615</v>
      </c>
      <c r="B309" s="126">
        <v>89482</v>
      </c>
      <c r="C309" s="127" t="s">
        <v>616</v>
      </c>
      <c r="D309" s="126" t="s">
        <v>12</v>
      </c>
      <c r="E309" s="126" t="s">
        <v>18</v>
      </c>
      <c r="F309" s="128">
        <v>11</v>
      </c>
      <c r="G309" s="129">
        <v>35.619999999999997</v>
      </c>
      <c r="H309" s="129">
        <f t="shared" ca="1" si="19"/>
        <v>44.524999999999999</v>
      </c>
      <c r="I309" s="130" t="s">
        <v>1379</v>
      </c>
      <c r="J309" s="131">
        <v>489.83</v>
      </c>
    </row>
    <row r="310" spans="1:10" ht="20.100000000000001" customHeight="1">
      <c r="A310" s="122">
        <v>14</v>
      </c>
      <c r="B310" s="141" t="s">
        <v>617</v>
      </c>
      <c r="C310" s="141"/>
      <c r="D310" s="141"/>
      <c r="E310" s="141"/>
      <c r="F310" s="141"/>
      <c r="G310" s="141"/>
      <c r="H310" s="122"/>
      <c r="I310" s="123">
        <v>58547.93</v>
      </c>
      <c r="J310" s="124">
        <f ca="1">SUM(J311,J341)</f>
        <v>73191.882500000007</v>
      </c>
    </row>
    <row r="311" spans="1:10" ht="20.100000000000001" customHeight="1">
      <c r="A311" s="122" t="s">
        <v>618</v>
      </c>
      <c r="B311" s="141" t="s">
        <v>619</v>
      </c>
      <c r="C311" s="141"/>
      <c r="D311" s="141"/>
      <c r="E311" s="141"/>
      <c r="F311" s="141"/>
      <c r="G311" s="141"/>
      <c r="H311" s="122"/>
      <c r="I311" s="123">
        <v>32086.97</v>
      </c>
      <c r="J311" s="124">
        <f ca="1">SUM(J312:J340)</f>
        <v>40113.702500000007</v>
      </c>
    </row>
    <row r="312" spans="1:10" ht="30" customHeight="1">
      <c r="A312" s="125" t="s">
        <v>620</v>
      </c>
      <c r="B312" s="126">
        <v>89714</v>
      </c>
      <c r="C312" s="127" t="s">
        <v>621</v>
      </c>
      <c r="D312" s="126" t="s">
        <v>12</v>
      </c>
      <c r="E312" s="126" t="s">
        <v>25</v>
      </c>
      <c r="F312" s="128">
        <v>149.30000000000001</v>
      </c>
      <c r="G312" s="129">
        <v>35.54</v>
      </c>
      <c r="H312" s="129">
        <f t="shared" ref="H312:H375" ca="1" si="21">(G312*I$5)+G312</f>
        <v>44.424999999999997</v>
      </c>
      <c r="I312" s="130" t="s">
        <v>1380</v>
      </c>
      <c r="J312" s="131">
        <v>6633.4</v>
      </c>
    </row>
    <row r="313" spans="1:10" ht="34.200000000000003" customHeight="1">
      <c r="A313" s="125" t="s">
        <v>622</v>
      </c>
      <c r="B313" s="126">
        <v>89711</v>
      </c>
      <c r="C313" s="127" t="s">
        <v>623</v>
      </c>
      <c r="D313" s="126" t="s">
        <v>12</v>
      </c>
      <c r="E313" s="126" t="s">
        <v>25</v>
      </c>
      <c r="F313" s="128">
        <v>115.3</v>
      </c>
      <c r="G313" s="129">
        <v>20.25</v>
      </c>
      <c r="H313" s="129">
        <f t="shared" ca="1" si="21"/>
        <v>25.3125</v>
      </c>
      <c r="I313" s="130" t="s">
        <v>1381</v>
      </c>
      <c r="J313" s="131">
        <v>2918.24</v>
      </c>
    </row>
    <row r="314" spans="1:10" ht="28.8" customHeight="1">
      <c r="A314" s="125" t="s">
        <v>624</v>
      </c>
      <c r="B314" s="126">
        <v>89712</v>
      </c>
      <c r="C314" s="127" t="s">
        <v>625</v>
      </c>
      <c r="D314" s="126" t="s">
        <v>12</v>
      </c>
      <c r="E314" s="126" t="s">
        <v>25</v>
      </c>
      <c r="F314" s="128">
        <v>173.1</v>
      </c>
      <c r="G314" s="129">
        <v>25.51</v>
      </c>
      <c r="H314" s="129">
        <f t="shared" ca="1" si="21"/>
        <v>31.887500000000003</v>
      </c>
      <c r="I314" s="130" t="s">
        <v>1382</v>
      </c>
      <c r="J314" s="131">
        <v>5520.16</v>
      </c>
    </row>
    <row r="315" spans="1:10" ht="29.4" customHeight="1">
      <c r="A315" s="125" t="s">
        <v>626</v>
      </c>
      <c r="B315" s="126">
        <v>89713</v>
      </c>
      <c r="C315" s="127" t="s">
        <v>627</v>
      </c>
      <c r="D315" s="126" t="s">
        <v>12</v>
      </c>
      <c r="E315" s="126" t="s">
        <v>25</v>
      </c>
      <c r="F315" s="128">
        <v>69.55</v>
      </c>
      <c r="G315" s="129">
        <v>31.74</v>
      </c>
      <c r="H315" s="129">
        <f t="shared" ca="1" si="21"/>
        <v>39.674999999999997</v>
      </c>
      <c r="I315" s="130" t="s">
        <v>1383</v>
      </c>
      <c r="J315" s="131">
        <v>2759.74</v>
      </c>
    </row>
    <row r="316" spans="1:10" ht="34.200000000000003">
      <c r="A316" s="125" t="s">
        <v>628</v>
      </c>
      <c r="B316" s="126">
        <v>89726</v>
      </c>
      <c r="C316" s="127" t="s">
        <v>629</v>
      </c>
      <c r="D316" s="126" t="s">
        <v>12</v>
      </c>
      <c r="E316" s="126" t="s">
        <v>18</v>
      </c>
      <c r="F316" s="128">
        <v>32</v>
      </c>
      <c r="G316" s="129">
        <v>9.74</v>
      </c>
      <c r="H316" s="129">
        <f t="shared" ca="1" si="21"/>
        <v>12.175000000000001</v>
      </c>
      <c r="I316" s="130" t="s">
        <v>1384</v>
      </c>
      <c r="J316" s="131">
        <v>389.76</v>
      </c>
    </row>
    <row r="317" spans="1:10" ht="34.200000000000003">
      <c r="A317" s="125" t="s">
        <v>630</v>
      </c>
      <c r="B317" s="126">
        <v>89732</v>
      </c>
      <c r="C317" s="127" t="s">
        <v>631</v>
      </c>
      <c r="D317" s="126" t="s">
        <v>12</v>
      </c>
      <c r="E317" s="126" t="s">
        <v>18</v>
      </c>
      <c r="F317" s="128">
        <v>31</v>
      </c>
      <c r="G317" s="129">
        <v>14.58</v>
      </c>
      <c r="H317" s="129">
        <f t="shared" ca="1" si="21"/>
        <v>18.225000000000001</v>
      </c>
      <c r="I317" s="130" t="s">
        <v>1385</v>
      </c>
      <c r="J317" s="131">
        <v>565.13</v>
      </c>
    </row>
    <row r="318" spans="1:10" ht="34.200000000000003">
      <c r="A318" s="125" t="s">
        <v>632</v>
      </c>
      <c r="B318" s="126">
        <v>89739</v>
      </c>
      <c r="C318" s="127" t="s">
        <v>633</v>
      </c>
      <c r="D318" s="126" t="s">
        <v>12</v>
      </c>
      <c r="E318" s="126" t="s">
        <v>18</v>
      </c>
      <c r="F318" s="128">
        <v>9</v>
      </c>
      <c r="G318" s="129">
        <v>21.83</v>
      </c>
      <c r="H318" s="129">
        <f t="shared" ca="1" si="21"/>
        <v>27.287499999999998</v>
      </c>
      <c r="I318" s="130" t="s">
        <v>1386</v>
      </c>
      <c r="J318" s="131">
        <v>245.61</v>
      </c>
    </row>
    <row r="319" spans="1:10" ht="34.200000000000003">
      <c r="A319" s="125" t="s">
        <v>634</v>
      </c>
      <c r="B319" s="126">
        <v>89746</v>
      </c>
      <c r="C319" s="127" t="s">
        <v>635</v>
      </c>
      <c r="D319" s="126" t="s">
        <v>12</v>
      </c>
      <c r="E319" s="126" t="s">
        <v>18</v>
      </c>
      <c r="F319" s="128">
        <v>6</v>
      </c>
      <c r="G319" s="129">
        <v>26.22</v>
      </c>
      <c r="H319" s="129">
        <f t="shared" ca="1" si="21"/>
        <v>32.774999999999999</v>
      </c>
      <c r="I319" s="130" t="s">
        <v>1387</v>
      </c>
      <c r="J319" s="131">
        <v>196.68</v>
      </c>
    </row>
    <row r="320" spans="1:10" ht="34.200000000000003">
      <c r="A320" s="125" t="s">
        <v>636</v>
      </c>
      <c r="B320" s="126">
        <v>89744</v>
      </c>
      <c r="C320" s="127" t="s">
        <v>637</v>
      </c>
      <c r="D320" s="126" t="s">
        <v>12</v>
      </c>
      <c r="E320" s="126" t="s">
        <v>18</v>
      </c>
      <c r="F320" s="128">
        <v>12</v>
      </c>
      <c r="G320" s="129">
        <v>25.46</v>
      </c>
      <c r="H320" s="129">
        <f t="shared" ca="1" si="21"/>
        <v>31.825000000000003</v>
      </c>
      <c r="I320" s="130" t="s">
        <v>1388</v>
      </c>
      <c r="J320" s="131">
        <v>381.96</v>
      </c>
    </row>
    <row r="321" spans="1:10" ht="34.200000000000003">
      <c r="A321" s="125" t="s">
        <v>638</v>
      </c>
      <c r="B321" s="126">
        <v>89737</v>
      </c>
      <c r="C321" s="127" t="s">
        <v>639</v>
      </c>
      <c r="D321" s="126" t="s">
        <v>12</v>
      </c>
      <c r="E321" s="126" t="s">
        <v>18</v>
      </c>
      <c r="F321" s="128">
        <v>28</v>
      </c>
      <c r="G321" s="129">
        <v>20.94</v>
      </c>
      <c r="H321" s="129">
        <f t="shared" ca="1" si="21"/>
        <v>26.175000000000001</v>
      </c>
      <c r="I321" s="130" t="s">
        <v>1389</v>
      </c>
      <c r="J321" s="131">
        <v>733.04</v>
      </c>
    </row>
    <row r="322" spans="1:10" ht="34.200000000000003">
      <c r="A322" s="125" t="s">
        <v>640</v>
      </c>
      <c r="B322" s="126">
        <v>89731</v>
      </c>
      <c r="C322" s="127" t="s">
        <v>641</v>
      </c>
      <c r="D322" s="126" t="s">
        <v>12</v>
      </c>
      <c r="E322" s="126" t="s">
        <v>18</v>
      </c>
      <c r="F322" s="128">
        <v>18</v>
      </c>
      <c r="G322" s="129">
        <v>13.92</v>
      </c>
      <c r="H322" s="129">
        <f t="shared" ca="1" si="21"/>
        <v>17.399999999999999</v>
      </c>
      <c r="I322" s="130" t="s">
        <v>1390</v>
      </c>
      <c r="J322" s="131">
        <v>313.2</v>
      </c>
    </row>
    <row r="323" spans="1:10" ht="34.200000000000003">
      <c r="A323" s="125" t="s">
        <v>642</v>
      </c>
      <c r="B323" s="126">
        <v>89724</v>
      </c>
      <c r="C323" s="127" t="s">
        <v>643</v>
      </c>
      <c r="D323" s="126" t="s">
        <v>12</v>
      </c>
      <c r="E323" s="126" t="s">
        <v>18</v>
      </c>
      <c r="F323" s="128">
        <v>106</v>
      </c>
      <c r="G323" s="129">
        <v>9.5299999999999994</v>
      </c>
      <c r="H323" s="129">
        <f t="shared" ca="1" si="21"/>
        <v>11.9125</v>
      </c>
      <c r="I323" s="130" t="s">
        <v>1391</v>
      </c>
      <c r="J323" s="131">
        <v>1262.46</v>
      </c>
    </row>
    <row r="324" spans="1:10" ht="22.8">
      <c r="A324" s="125" t="s">
        <v>644</v>
      </c>
      <c r="B324" s="126" t="s">
        <v>645</v>
      </c>
      <c r="C324" s="127" t="s">
        <v>646</v>
      </c>
      <c r="D324" s="126" t="s">
        <v>22</v>
      </c>
      <c r="E324" s="126" t="s">
        <v>18</v>
      </c>
      <c r="F324" s="128">
        <v>14</v>
      </c>
      <c r="G324" s="129">
        <v>48.69</v>
      </c>
      <c r="H324" s="129">
        <f t="shared" ca="1" si="21"/>
        <v>60.862499999999997</v>
      </c>
      <c r="I324" s="130" t="s">
        <v>1392</v>
      </c>
      <c r="J324" s="131">
        <v>852.04</v>
      </c>
    </row>
    <row r="325" spans="1:10" ht="22.8">
      <c r="A325" s="125" t="s">
        <v>647</v>
      </c>
      <c r="B325" s="126">
        <v>89834</v>
      </c>
      <c r="C325" s="127" t="s">
        <v>648</v>
      </c>
      <c r="D325" s="126" t="s">
        <v>12</v>
      </c>
      <c r="E325" s="126" t="s">
        <v>18</v>
      </c>
      <c r="F325" s="128">
        <v>8</v>
      </c>
      <c r="G325" s="129">
        <v>48.7</v>
      </c>
      <c r="H325" s="129">
        <f t="shared" ca="1" si="21"/>
        <v>60.875</v>
      </c>
      <c r="I325" s="130" t="s">
        <v>1393</v>
      </c>
      <c r="J325" s="131">
        <v>487.04</v>
      </c>
    </row>
    <row r="326" spans="1:10" ht="22.8">
      <c r="A326" s="125" t="s">
        <v>649</v>
      </c>
      <c r="B326" s="126" t="s">
        <v>650</v>
      </c>
      <c r="C326" s="127" t="s">
        <v>651</v>
      </c>
      <c r="D326" s="126" t="s">
        <v>22</v>
      </c>
      <c r="E326" s="126" t="s">
        <v>18</v>
      </c>
      <c r="F326" s="128">
        <v>1</v>
      </c>
      <c r="G326" s="129">
        <v>37.590000000000003</v>
      </c>
      <c r="H326" s="129">
        <f t="shared" ca="1" si="21"/>
        <v>46.987500000000004</v>
      </c>
      <c r="I326" s="130" t="s">
        <v>1394</v>
      </c>
      <c r="J326" s="131">
        <v>46.99</v>
      </c>
    </row>
    <row r="327" spans="1:10" ht="22.8">
      <c r="A327" s="125" t="s">
        <v>652</v>
      </c>
      <c r="B327" s="126">
        <v>89827</v>
      </c>
      <c r="C327" s="127" t="s">
        <v>653</v>
      </c>
      <c r="D327" s="126" t="s">
        <v>12</v>
      </c>
      <c r="E327" s="126" t="s">
        <v>18</v>
      </c>
      <c r="F327" s="128">
        <v>9</v>
      </c>
      <c r="G327" s="129">
        <v>17.97</v>
      </c>
      <c r="H327" s="129">
        <f t="shared" ca="1" si="21"/>
        <v>22.462499999999999</v>
      </c>
      <c r="I327" s="130" t="s">
        <v>1395</v>
      </c>
      <c r="J327" s="131">
        <v>202.14</v>
      </c>
    </row>
    <row r="328" spans="1:10" ht="22.8">
      <c r="A328" s="125" t="s">
        <v>654</v>
      </c>
      <c r="B328" s="126">
        <v>89557</v>
      </c>
      <c r="C328" s="127" t="s">
        <v>655</v>
      </c>
      <c r="D328" s="126" t="s">
        <v>12</v>
      </c>
      <c r="E328" s="126" t="s">
        <v>18</v>
      </c>
      <c r="F328" s="128">
        <v>1</v>
      </c>
      <c r="G328" s="129">
        <v>28.72</v>
      </c>
      <c r="H328" s="129">
        <f t="shared" ca="1" si="21"/>
        <v>35.9</v>
      </c>
      <c r="I328" s="130" t="s">
        <v>1396</v>
      </c>
      <c r="J328" s="131">
        <v>35.9</v>
      </c>
    </row>
    <row r="329" spans="1:10" ht="30.6" customHeight="1">
      <c r="A329" s="125" t="s">
        <v>656</v>
      </c>
      <c r="B329" s="126">
        <v>99253</v>
      </c>
      <c r="C329" s="127" t="s">
        <v>614</v>
      </c>
      <c r="D329" s="126" t="s">
        <v>12</v>
      </c>
      <c r="E329" s="126" t="s">
        <v>18</v>
      </c>
      <c r="F329" s="128">
        <v>16</v>
      </c>
      <c r="G329" s="129">
        <v>539.54999999999995</v>
      </c>
      <c r="H329" s="129">
        <f t="shared" ca="1" si="21"/>
        <v>674.4375</v>
      </c>
      <c r="I329" s="130" t="s">
        <v>1397</v>
      </c>
      <c r="J329" s="131">
        <v>10791.04</v>
      </c>
    </row>
    <row r="330" spans="1:10" ht="31.8" customHeight="1">
      <c r="A330" s="125" t="s">
        <v>657</v>
      </c>
      <c r="B330" s="126">
        <v>89708</v>
      </c>
      <c r="C330" s="127" t="s">
        <v>658</v>
      </c>
      <c r="D330" s="126" t="s">
        <v>12</v>
      </c>
      <c r="E330" s="126" t="s">
        <v>18</v>
      </c>
      <c r="F330" s="128">
        <v>19</v>
      </c>
      <c r="G330" s="129">
        <v>92.75</v>
      </c>
      <c r="H330" s="129">
        <f t="shared" ca="1" si="21"/>
        <v>115.9375</v>
      </c>
      <c r="I330" s="130" t="s">
        <v>1398</v>
      </c>
      <c r="J330" s="131">
        <v>2202.86</v>
      </c>
    </row>
    <row r="331" spans="1:10" ht="31.8" customHeight="1">
      <c r="A331" s="125" t="s">
        <v>659</v>
      </c>
      <c r="B331" s="126">
        <v>89696</v>
      </c>
      <c r="C331" s="127" t="s">
        <v>660</v>
      </c>
      <c r="D331" s="126" t="s">
        <v>12</v>
      </c>
      <c r="E331" s="126" t="s">
        <v>18</v>
      </c>
      <c r="F331" s="128">
        <v>12</v>
      </c>
      <c r="G331" s="129">
        <v>76.19</v>
      </c>
      <c r="H331" s="129">
        <f t="shared" ca="1" si="21"/>
        <v>95.237499999999997</v>
      </c>
      <c r="I331" s="130" t="s">
        <v>1399</v>
      </c>
      <c r="J331" s="131">
        <v>1142.8800000000001</v>
      </c>
    </row>
    <row r="332" spans="1:10" ht="31.8" customHeight="1">
      <c r="A332" s="125" t="s">
        <v>661</v>
      </c>
      <c r="B332" s="126" t="s">
        <v>662</v>
      </c>
      <c r="C332" s="127" t="s">
        <v>663</v>
      </c>
      <c r="D332" s="126" t="s">
        <v>22</v>
      </c>
      <c r="E332" s="126" t="s">
        <v>18</v>
      </c>
      <c r="F332" s="128">
        <v>4</v>
      </c>
      <c r="G332" s="129">
        <v>76.19</v>
      </c>
      <c r="H332" s="129">
        <f t="shared" ca="1" si="21"/>
        <v>95.237499999999997</v>
      </c>
      <c r="I332" s="130" t="s">
        <v>1400</v>
      </c>
      <c r="J332" s="131">
        <v>380.96</v>
      </c>
    </row>
    <row r="333" spans="1:10" ht="28.8" customHeight="1">
      <c r="A333" s="125" t="s">
        <v>664</v>
      </c>
      <c r="B333" s="126">
        <v>89784</v>
      </c>
      <c r="C333" s="127" t="s">
        <v>665</v>
      </c>
      <c r="D333" s="126" t="s">
        <v>12</v>
      </c>
      <c r="E333" s="126" t="s">
        <v>18</v>
      </c>
      <c r="F333" s="128">
        <v>13</v>
      </c>
      <c r="G333" s="129">
        <v>22.44</v>
      </c>
      <c r="H333" s="129">
        <f t="shared" ca="1" si="21"/>
        <v>28.05</v>
      </c>
      <c r="I333" s="130" t="s">
        <v>1401</v>
      </c>
      <c r="J333" s="131">
        <v>364.65</v>
      </c>
    </row>
    <row r="334" spans="1:10" ht="27.6" customHeight="1">
      <c r="A334" s="125" t="s">
        <v>666</v>
      </c>
      <c r="B334" s="126">
        <v>89687</v>
      </c>
      <c r="C334" s="127" t="s">
        <v>667</v>
      </c>
      <c r="D334" s="126" t="s">
        <v>12</v>
      </c>
      <c r="E334" s="126" t="s">
        <v>18</v>
      </c>
      <c r="F334" s="128">
        <v>1</v>
      </c>
      <c r="G334" s="129">
        <v>47.81</v>
      </c>
      <c r="H334" s="129">
        <f t="shared" ca="1" si="21"/>
        <v>59.762500000000003</v>
      </c>
      <c r="I334" s="130" t="s">
        <v>1402</v>
      </c>
      <c r="J334" s="131">
        <f t="shared" ref="J334:J371" ca="1" si="22">H334*F334</f>
        <v>59.762500000000003</v>
      </c>
    </row>
    <row r="335" spans="1:10" ht="31.2" customHeight="1">
      <c r="A335" s="125" t="s">
        <v>668</v>
      </c>
      <c r="B335" s="126">
        <v>89623</v>
      </c>
      <c r="C335" s="127" t="s">
        <v>669</v>
      </c>
      <c r="D335" s="126" t="s">
        <v>12</v>
      </c>
      <c r="E335" s="126" t="s">
        <v>18</v>
      </c>
      <c r="F335" s="128">
        <v>12</v>
      </c>
      <c r="G335" s="129">
        <v>17.850000000000001</v>
      </c>
      <c r="H335" s="129">
        <f t="shared" ca="1" si="21"/>
        <v>22.3125</v>
      </c>
      <c r="I335" s="130" t="s">
        <v>1403</v>
      </c>
      <c r="J335" s="131">
        <v>267.72000000000003</v>
      </c>
    </row>
    <row r="336" spans="1:10" ht="33" customHeight="1">
      <c r="A336" s="125" t="s">
        <v>670</v>
      </c>
      <c r="B336" s="126">
        <v>89710</v>
      </c>
      <c r="C336" s="127" t="s">
        <v>671</v>
      </c>
      <c r="D336" s="126" t="s">
        <v>12</v>
      </c>
      <c r="E336" s="126" t="s">
        <v>18</v>
      </c>
      <c r="F336" s="128">
        <v>15</v>
      </c>
      <c r="G336" s="129">
        <v>16.89</v>
      </c>
      <c r="H336" s="129">
        <f t="shared" ca="1" si="21"/>
        <v>21.112500000000001</v>
      </c>
      <c r="I336" s="130" t="s">
        <v>1404</v>
      </c>
      <c r="J336" s="131">
        <v>316.64999999999998</v>
      </c>
    </row>
    <row r="337" spans="1:10" ht="33" customHeight="1">
      <c r="A337" s="125" t="s">
        <v>672</v>
      </c>
      <c r="B337" s="126" t="s">
        <v>673</v>
      </c>
      <c r="C337" s="127" t="s">
        <v>674</v>
      </c>
      <c r="D337" s="126" t="s">
        <v>22</v>
      </c>
      <c r="E337" s="126" t="s">
        <v>25</v>
      </c>
      <c r="F337" s="128">
        <v>3</v>
      </c>
      <c r="G337" s="129">
        <v>102.63</v>
      </c>
      <c r="H337" s="129">
        <f t="shared" ca="1" si="21"/>
        <v>128.28749999999999</v>
      </c>
      <c r="I337" s="130" t="s">
        <v>1405</v>
      </c>
      <c r="J337" s="131">
        <v>384.87</v>
      </c>
    </row>
    <row r="338" spans="1:10" ht="30" customHeight="1">
      <c r="A338" s="125" t="s">
        <v>675</v>
      </c>
      <c r="B338" s="126">
        <v>104351</v>
      </c>
      <c r="C338" s="127" t="s">
        <v>676</v>
      </c>
      <c r="D338" s="126" t="s">
        <v>12</v>
      </c>
      <c r="E338" s="126" t="s">
        <v>18</v>
      </c>
      <c r="F338" s="128">
        <v>9</v>
      </c>
      <c r="G338" s="129">
        <v>20.62</v>
      </c>
      <c r="H338" s="129">
        <f t="shared" ca="1" si="21"/>
        <v>25.775000000000002</v>
      </c>
      <c r="I338" s="130" t="s">
        <v>1406</v>
      </c>
      <c r="J338" s="131">
        <v>232.02</v>
      </c>
    </row>
    <row r="339" spans="1:10" ht="30" customHeight="1">
      <c r="A339" s="125" t="s">
        <v>677</v>
      </c>
      <c r="B339" s="126">
        <v>104348</v>
      </c>
      <c r="C339" s="127" t="s">
        <v>678</v>
      </c>
      <c r="D339" s="126" t="s">
        <v>12</v>
      </c>
      <c r="E339" s="126" t="s">
        <v>18</v>
      </c>
      <c r="F339" s="128">
        <v>9</v>
      </c>
      <c r="G339" s="129">
        <v>9.9600000000000009</v>
      </c>
      <c r="H339" s="129">
        <f t="shared" ca="1" si="21"/>
        <v>12.450000000000001</v>
      </c>
      <c r="I339" s="130" t="s">
        <v>1407</v>
      </c>
      <c r="J339" s="131">
        <v>112.05</v>
      </c>
    </row>
    <row r="340" spans="1:10" ht="41.4" customHeight="1">
      <c r="A340" s="125" t="s">
        <v>679</v>
      </c>
      <c r="B340" s="126">
        <v>104341</v>
      </c>
      <c r="C340" s="127" t="s">
        <v>680</v>
      </c>
      <c r="D340" s="126" t="s">
        <v>12</v>
      </c>
      <c r="E340" s="126" t="s">
        <v>18</v>
      </c>
      <c r="F340" s="128">
        <v>25</v>
      </c>
      <c r="G340" s="129">
        <v>10.07</v>
      </c>
      <c r="H340" s="129">
        <f t="shared" ca="1" si="21"/>
        <v>12.5875</v>
      </c>
      <c r="I340" s="130" t="s">
        <v>1408</v>
      </c>
      <c r="J340" s="131">
        <v>314.75</v>
      </c>
    </row>
    <row r="341" spans="1:10" ht="20.100000000000001" customHeight="1">
      <c r="A341" s="122" t="s">
        <v>681</v>
      </c>
      <c r="B341" s="141" t="s">
        <v>682</v>
      </c>
      <c r="C341" s="141"/>
      <c r="D341" s="141"/>
      <c r="E341" s="141"/>
      <c r="F341" s="141"/>
      <c r="G341" s="141"/>
      <c r="H341" s="122"/>
      <c r="I341" s="123">
        <v>26460.959999999999</v>
      </c>
      <c r="J341" s="124">
        <f ca="1">SUM(J342:J344)</f>
        <v>33078.18</v>
      </c>
    </row>
    <row r="342" spans="1:10" ht="29.4" customHeight="1">
      <c r="A342" s="125" t="s">
        <v>683</v>
      </c>
      <c r="B342" s="126">
        <v>98087</v>
      </c>
      <c r="C342" s="127" t="s">
        <v>684</v>
      </c>
      <c r="D342" s="126" t="s">
        <v>12</v>
      </c>
      <c r="E342" s="126" t="s">
        <v>18</v>
      </c>
      <c r="F342" s="128">
        <v>1</v>
      </c>
      <c r="G342" s="129">
        <v>10823.35</v>
      </c>
      <c r="H342" s="129">
        <f t="shared" ca="1" si="21"/>
        <v>13529.1875</v>
      </c>
      <c r="I342" s="130" t="s">
        <v>1409</v>
      </c>
      <c r="J342" s="131">
        <v>13529.19</v>
      </c>
    </row>
    <row r="343" spans="1:10" ht="30.6" customHeight="1">
      <c r="A343" s="125" t="s">
        <v>685</v>
      </c>
      <c r="B343" s="126">
        <v>98065</v>
      </c>
      <c r="C343" s="127" t="s">
        <v>686</v>
      </c>
      <c r="D343" s="126" t="s">
        <v>12</v>
      </c>
      <c r="E343" s="126" t="s">
        <v>18</v>
      </c>
      <c r="F343" s="128">
        <v>1</v>
      </c>
      <c r="G343" s="129">
        <v>7824.28</v>
      </c>
      <c r="H343" s="129">
        <f t="shared" ca="1" si="21"/>
        <v>9780.35</v>
      </c>
      <c r="I343" s="130" t="s">
        <v>1410</v>
      </c>
      <c r="J343" s="131">
        <f t="shared" ca="1" si="22"/>
        <v>9780.35</v>
      </c>
    </row>
    <row r="344" spans="1:10" ht="30" customHeight="1">
      <c r="A344" s="125" t="s">
        <v>687</v>
      </c>
      <c r="B344" s="126">
        <v>98090</v>
      </c>
      <c r="C344" s="127" t="s">
        <v>688</v>
      </c>
      <c r="D344" s="126" t="s">
        <v>12</v>
      </c>
      <c r="E344" s="126" t="s">
        <v>18</v>
      </c>
      <c r="F344" s="128">
        <v>1</v>
      </c>
      <c r="G344" s="129">
        <v>7814.91</v>
      </c>
      <c r="H344" s="129">
        <f t="shared" ca="1" si="21"/>
        <v>9768.6375000000007</v>
      </c>
      <c r="I344" s="130" t="s">
        <v>1411</v>
      </c>
      <c r="J344" s="131">
        <v>9768.64</v>
      </c>
    </row>
    <row r="345" spans="1:10" ht="20.100000000000001" customHeight="1">
      <c r="A345" s="122">
        <v>15</v>
      </c>
      <c r="B345" s="141" t="s">
        <v>689</v>
      </c>
      <c r="C345" s="141"/>
      <c r="D345" s="141"/>
      <c r="E345" s="141"/>
      <c r="F345" s="141"/>
      <c r="G345" s="141"/>
      <c r="H345" s="122"/>
      <c r="I345" s="123">
        <v>55716.33</v>
      </c>
      <c r="J345" s="124">
        <f ca="1">SUM(J346:J379)</f>
        <v>69646.44</v>
      </c>
    </row>
    <row r="346" spans="1:10" ht="25.2" customHeight="1">
      <c r="A346" s="125" t="s">
        <v>690</v>
      </c>
      <c r="B346" s="126">
        <v>95470</v>
      </c>
      <c r="C346" s="127" t="s">
        <v>691</v>
      </c>
      <c r="D346" s="126" t="s">
        <v>12</v>
      </c>
      <c r="E346" s="126" t="s">
        <v>18</v>
      </c>
      <c r="F346" s="128">
        <v>4</v>
      </c>
      <c r="G346" s="129">
        <v>327.7</v>
      </c>
      <c r="H346" s="129">
        <f t="shared" ca="1" si="21"/>
        <v>409.625</v>
      </c>
      <c r="I346" s="130" t="s">
        <v>1412</v>
      </c>
      <c r="J346" s="131">
        <v>1638.52</v>
      </c>
    </row>
    <row r="347" spans="1:10">
      <c r="A347" s="125" t="s">
        <v>692</v>
      </c>
      <c r="B347" s="126">
        <v>100848</v>
      </c>
      <c r="C347" s="127" t="s">
        <v>693</v>
      </c>
      <c r="D347" s="126" t="s">
        <v>12</v>
      </c>
      <c r="E347" s="126" t="s">
        <v>18</v>
      </c>
      <c r="F347" s="128">
        <v>9</v>
      </c>
      <c r="G347" s="129">
        <v>586.04</v>
      </c>
      <c r="H347" s="129">
        <f t="shared" ca="1" si="21"/>
        <v>732.55</v>
      </c>
      <c r="I347" s="130" t="s">
        <v>1413</v>
      </c>
      <c r="J347" s="131">
        <v>6592.95</v>
      </c>
    </row>
    <row r="348" spans="1:10">
      <c r="A348" s="125" t="s">
        <v>694</v>
      </c>
      <c r="B348" s="126">
        <v>100849</v>
      </c>
      <c r="C348" s="127" t="s">
        <v>695</v>
      </c>
      <c r="D348" s="126" t="s">
        <v>12</v>
      </c>
      <c r="E348" s="126" t="s">
        <v>18</v>
      </c>
      <c r="F348" s="128">
        <v>4</v>
      </c>
      <c r="G348" s="129">
        <v>43.95</v>
      </c>
      <c r="H348" s="129">
        <f t="shared" ca="1" si="21"/>
        <v>54.9375</v>
      </c>
      <c r="I348" s="130" t="s">
        <v>1414</v>
      </c>
      <c r="J348" s="131">
        <v>219.76</v>
      </c>
    </row>
    <row r="349" spans="1:10">
      <c r="A349" s="125" t="s">
        <v>696</v>
      </c>
      <c r="B349" s="126">
        <v>100851</v>
      </c>
      <c r="C349" s="127" t="s">
        <v>697</v>
      </c>
      <c r="D349" s="126" t="s">
        <v>12</v>
      </c>
      <c r="E349" s="126" t="s">
        <v>18</v>
      </c>
      <c r="F349" s="128">
        <v>9</v>
      </c>
      <c r="G349" s="129">
        <v>87.89</v>
      </c>
      <c r="H349" s="129">
        <f t="shared" ca="1" si="21"/>
        <v>109.8625</v>
      </c>
      <c r="I349" s="130" t="s">
        <v>1141</v>
      </c>
      <c r="J349" s="131">
        <v>988.74</v>
      </c>
    </row>
    <row r="350" spans="1:10" ht="20.399999999999999" customHeight="1">
      <c r="A350" s="125" t="s">
        <v>698</v>
      </c>
      <c r="B350" s="126" t="s">
        <v>699</v>
      </c>
      <c r="C350" s="127" t="s">
        <v>700</v>
      </c>
      <c r="D350" s="126" t="s">
        <v>22</v>
      </c>
      <c r="E350" s="126" t="s">
        <v>18</v>
      </c>
      <c r="F350" s="128">
        <v>2</v>
      </c>
      <c r="G350" s="129">
        <v>388.18</v>
      </c>
      <c r="H350" s="129">
        <f t="shared" ca="1" si="21"/>
        <v>485.22500000000002</v>
      </c>
      <c r="I350" s="130" t="s">
        <v>1415</v>
      </c>
      <c r="J350" s="131">
        <v>970.46</v>
      </c>
    </row>
    <row r="351" spans="1:10" ht="27" customHeight="1">
      <c r="A351" s="125" t="s">
        <v>701</v>
      </c>
      <c r="B351" s="126" t="s">
        <v>702</v>
      </c>
      <c r="C351" s="127" t="s">
        <v>703</v>
      </c>
      <c r="D351" s="126" t="s">
        <v>22</v>
      </c>
      <c r="E351" s="126" t="s">
        <v>18</v>
      </c>
      <c r="F351" s="128">
        <v>3</v>
      </c>
      <c r="G351" s="129">
        <v>161.52000000000001</v>
      </c>
      <c r="H351" s="129">
        <f t="shared" ca="1" si="21"/>
        <v>201.9</v>
      </c>
      <c r="I351" s="130" t="s">
        <v>1416</v>
      </c>
      <c r="J351" s="131">
        <v>605.70000000000005</v>
      </c>
    </row>
    <row r="352" spans="1:10" ht="34.200000000000003" customHeight="1">
      <c r="A352" s="125" t="s">
        <v>704</v>
      </c>
      <c r="B352" s="126">
        <v>86901</v>
      </c>
      <c r="C352" s="127" t="s">
        <v>705</v>
      </c>
      <c r="D352" s="126" t="s">
        <v>12</v>
      </c>
      <c r="E352" s="126" t="s">
        <v>18</v>
      </c>
      <c r="F352" s="128">
        <v>13</v>
      </c>
      <c r="G352" s="129">
        <v>152.51</v>
      </c>
      <c r="H352" s="129">
        <f t="shared" ca="1" si="21"/>
        <v>190.63749999999999</v>
      </c>
      <c r="I352" s="130" t="s">
        <v>1417</v>
      </c>
      <c r="J352" s="131">
        <v>2478.3200000000002</v>
      </c>
    </row>
    <row r="353" spans="1:10" ht="25.8" customHeight="1">
      <c r="A353" s="125" t="s">
        <v>706</v>
      </c>
      <c r="B353" s="126">
        <v>86902</v>
      </c>
      <c r="C353" s="127" t="s">
        <v>707</v>
      </c>
      <c r="D353" s="126" t="s">
        <v>12</v>
      </c>
      <c r="E353" s="126" t="s">
        <v>18</v>
      </c>
      <c r="F353" s="128">
        <v>3</v>
      </c>
      <c r="G353" s="129">
        <v>350.07</v>
      </c>
      <c r="H353" s="129">
        <f t="shared" ca="1" si="21"/>
        <v>437.58749999999998</v>
      </c>
      <c r="I353" s="130" t="s">
        <v>1418</v>
      </c>
      <c r="J353" s="131">
        <v>1312.77</v>
      </c>
    </row>
    <row r="354" spans="1:10" ht="30.6" customHeight="1">
      <c r="A354" s="125" t="s">
        <v>708</v>
      </c>
      <c r="B354" s="126">
        <v>86872</v>
      </c>
      <c r="C354" s="127" t="s">
        <v>709</v>
      </c>
      <c r="D354" s="126" t="s">
        <v>12</v>
      </c>
      <c r="E354" s="126" t="s">
        <v>18</v>
      </c>
      <c r="F354" s="128">
        <v>5</v>
      </c>
      <c r="G354" s="129">
        <v>776.68</v>
      </c>
      <c r="H354" s="129">
        <f t="shared" ca="1" si="21"/>
        <v>970.84999999999991</v>
      </c>
      <c r="I354" s="130" t="s">
        <v>1419</v>
      </c>
      <c r="J354" s="131">
        <f t="shared" ca="1" si="22"/>
        <v>4854.25</v>
      </c>
    </row>
    <row r="355" spans="1:10" ht="28.2" customHeight="1">
      <c r="A355" s="125" t="s">
        <v>710</v>
      </c>
      <c r="B355" s="126">
        <v>86900</v>
      </c>
      <c r="C355" s="127" t="s">
        <v>711</v>
      </c>
      <c r="D355" s="126" t="s">
        <v>12</v>
      </c>
      <c r="E355" s="126" t="s">
        <v>18</v>
      </c>
      <c r="F355" s="128">
        <v>5</v>
      </c>
      <c r="G355" s="129">
        <v>202.5</v>
      </c>
      <c r="H355" s="129">
        <f t="shared" ca="1" si="21"/>
        <v>253.125</v>
      </c>
      <c r="I355" s="130" t="s">
        <v>1420</v>
      </c>
      <c r="J355" s="131">
        <v>1265.6500000000001</v>
      </c>
    </row>
    <row r="356" spans="1:10" ht="22.8">
      <c r="A356" s="125" t="s">
        <v>712</v>
      </c>
      <c r="B356" s="126" t="s">
        <v>713</v>
      </c>
      <c r="C356" s="127" t="s">
        <v>714</v>
      </c>
      <c r="D356" s="126" t="s">
        <v>22</v>
      </c>
      <c r="E356" s="126" t="s">
        <v>18</v>
      </c>
      <c r="F356" s="128">
        <v>6</v>
      </c>
      <c r="G356" s="129">
        <v>202.49</v>
      </c>
      <c r="H356" s="129">
        <f t="shared" ca="1" si="21"/>
        <v>253.11250000000001</v>
      </c>
      <c r="I356" s="130" t="s">
        <v>1421</v>
      </c>
      <c r="J356" s="131">
        <v>1518.66</v>
      </c>
    </row>
    <row r="357" spans="1:10" ht="28.2" customHeight="1">
      <c r="A357" s="125" t="s">
        <v>715</v>
      </c>
      <c r="B357" s="126">
        <v>100852</v>
      </c>
      <c r="C357" s="127" t="s">
        <v>716</v>
      </c>
      <c r="D357" s="126" t="s">
        <v>12</v>
      </c>
      <c r="E357" s="126" t="s">
        <v>18</v>
      </c>
      <c r="F357" s="128">
        <v>1</v>
      </c>
      <c r="G357" s="129">
        <v>221.71</v>
      </c>
      <c r="H357" s="129">
        <f t="shared" ca="1" si="21"/>
        <v>277.13749999999999</v>
      </c>
      <c r="I357" s="130" t="s">
        <v>1422</v>
      </c>
      <c r="J357" s="131">
        <f t="shared" ca="1" si="22"/>
        <v>277.13749999999999</v>
      </c>
    </row>
    <row r="358" spans="1:10" ht="31.2" customHeight="1">
      <c r="A358" s="125" t="s">
        <v>717</v>
      </c>
      <c r="B358" s="126">
        <v>86877</v>
      </c>
      <c r="C358" s="127" t="s">
        <v>718</v>
      </c>
      <c r="D358" s="126" t="s">
        <v>12</v>
      </c>
      <c r="E358" s="126" t="s">
        <v>18</v>
      </c>
      <c r="F358" s="128">
        <v>24</v>
      </c>
      <c r="G358" s="129">
        <v>82.54</v>
      </c>
      <c r="H358" s="129">
        <f t="shared" ca="1" si="21"/>
        <v>103.17500000000001</v>
      </c>
      <c r="I358" s="130" t="s">
        <v>1423</v>
      </c>
      <c r="J358" s="131">
        <v>2476.3200000000002</v>
      </c>
    </row>
    <row r="359" spans="1:10">
      <c r="A359" s="125" t="s">
        <v>719</v>
      </c>
      <c r="B359" s="126">
        <v>86883</v>
      </c>
      <c r="C359" s="127" t="s">
        <v>720</v>
      </c>
      <c r="D359" s="126" t="s">
        <v>12</v>
      </c>
      <c r="E359" s="126" t="s">
        <v>18</v>
      </c>
      <c r="F359" s="128">
        <v>38</v>
      </c>
      <c r="G359" s="129">
        <v>12.57</v>
      </c>
      <c r="H359" s="129">
        <f t="shared" ca="1" si="21"/>
        <v>15.7125</v>
      </c>
      <c r="I359" s="130" t="s">
        <v>1424</v>
      </c>
      <c r="J359" s="131">
        <v>596.98</v>
      </c>
    </row>
    <row r="360" spans="1:10" ht="27.6" customHeight="1">
      <c r="A360" s="125" t="s">
        <v>721</v>
      </c>
      <c r="B360" s="126">
        <v>86909</v>
      </c>
      <c r="C360" s="127" t="s">
        <v>722</v>
      </c>
      <c r="D360" s="126" t="s">
        <v>12</v>
      </c>
      <c r="E360" s="126" t="s">
        <v>18</v>
      </c>
      <c r="F360" s="128">
        <v>9</v>
      </c>
      <c r="G360" s="129">
        <v>138.38999999999999</v>
      </c>
      <c r="H360" s="129">
        <f t="shared" ca="1" si="21"/>
        <v>172.98749999999998</v>
      </c>
      <c r="I360" s="130" t="s">
        <v>1425</v>
      </c>
      <c r="J360" s="131">
        <v>1556.91</v>
      </c>
    </row>
    <row r="361" spans="1:10" ht="31.8" customHeight="1">
      <c r="A361" s="125" t="s">
        <v>723</v>
      </c>
      <c r="B361" s="126" t="s">
        <v>724</v>
      </c>
      <c r="C361" s="127" t="s">
        <v>725</v>
      </c>
      <c r="D361" s="126" t="s">
        <v>22</v>
      </c>
      <c r="E361" s="126" t="s">
        <v>18</v>
      </c>
      <c r="F361" s="128">
        <v>16</v>
      </c>
      <c r="G361" s="129">
        <v>152.72999999999999</v>
      </c>
      <c r="H361" s="129">
        <f t="shared" ca="1" si="21"/>
        <v>190.91249999999999</v>
      </c>
      <c r="I361" s="130" t="s">
        <v>1426</v>
      </c>
      <c r="J361" s="131">
        <v>3054.56</v>
      </c>
    </row>
    <row r="362" spans="1:10">
      <c r="A362" s="125" t="s">
        <v>726</v>
      </c>
      <c r="B362" s="126" t="s">
        <v>727</v>
      </c>
      <c r="C362" s="127" t="s">
        <v>728</v>
      </c>
      <c r="D362" s="126" t="s">
        <v>22</v>
      </c>
      <c r="E362" s="126" t="s">
        <v>18</v>
      </c>
      <c r="F362" s="128">
        <v>2</v>
      </c>
      <c r="G362" s="129">
        <v>194.88</v>
      </c>
      <c r="H362" s="129">
        <f t="shared" ca="1" si="21"/>
        <v>243.6</v>
      </c>
      <c r="I362" s="130" t="s">
        <v>1427</v>
      </c>
      <c r="J362" s="131">
        <v>487.2</v>
      </c>
    </row>
    <row r="363" spans="1:10" ht="22.8">
      <c r="A363" s="125" t="s">
        <v>729</v>
      </c>
      <c r="B363" s="126">
        <v>86913</v>
      </c>
      <c r="C363" s="127" t="s">
        <v>730</v>
      </c>
      <c r="D363" s="126" t="s">
        <v>12</v>
      </c>
      <c r="E363" s="126" t="s">
        <v>18</v>
      </c>
      <c r="F363" s="128">
        <v>7</v>
      </c>
      <c r="G363" s="129">
        <v>58.24</v>
      </c>
      <c r="H363" s="129">
        <f t="shared" ca="1" si="21"/>
        <v>72.8</v>
      </c>
      <c r="I363" s="130" t="s">
        <v>1428</v>
      </c>
      <c r="J363" s="131">
        <v>509.6</v>
      </c>
    </row>
    <row r="364" spans="1:10" ht="22.8">
      <c r="A364" s="125" t="s">
        <v>731</v>
      </c>
      <c r="B364" s="126" t="s">
        <v>732</v>
      </c>
      <c r="C364" s="127" t="s">
        <v>733</v>
      </c>
      <c r="D364" s="126" t="s">
        <v>22</v>
      </c>
      <c r="E364" s="126" t="s">
        <v>18</v>
      </c>
      <c r="F364" s="128">
        <v>3</v>
      </c>
      <c r="G364" s="129">
        <v>366.08</v>
      </c>
      <c r="H364" s="129">
        <f t="shared" ca="1" si="21"/>
        <v>457.59999999999997</v>
      </c>
      <c r="I364" s="130" t="s">
        <v>1429</v>
      </c>
      <c r="J364" s="131">
        <f t="shared" ca="1" si="22"/>
        <v>1372.8</v>
      </c>
    </row>
    <row r="365" spans="1:10">
      <c r="A365" s="125" t="s">
        <v>734</v>
      </c>
      <c r="B365" s="126" t="s">
        <v>735</v>
      </c>
      <c r="C365" s="127" t="s">
        <v>736</v>
      </c>
      <c r="D365" s="126" t="s">
        <v>22</v>
      </c>
      <c r="E365" s="126" t="s">
        <v>18</v>
      </c>
      <c r="F365" s="128">
        <v>2</v>
      </c>
      <c r="G365" s="129">
        <v>116.16</v>
      </c>
      <c r="H365" s="129">
        <f t="shared" ca="1" si="21"/>
        <v>145.19999999999999</v>
      </c>
      <c r="I365" s="130" t="s">
        <v>1430</v>
      </c>
      <c r="J365" s="131">
        <f t="shared" ca="1" si="22"/>
        <v>290.39999999999998</v>
      </c>
    </row>
    <row r="366" spans="1:10">
      <c r="A366" s="125" t="s">
        <v>737</v>
      </c>
      <c r="B366" s="126">
        <v>86887</v>
      </c>
      <c r="C366" s="127" t="s">
        <v>738</v>
      </c>
      <c r="D366" s="126" t="s">
        <v>12</v>
      </c>
      <c r="E366" s="126" t="s">
        <v>18</v>
      </c>
      <c r="F366" s="128">
        <v>25</v>
      </c>
      <c r="G366" s="129">
        <v>66.239999999999995</v>
      </c>
      <c r="H366" s="129">
        <f t="shared" ca="1" si="21"/>
        <v>82.8</v>
      </c>
      <c r="I366" s="130" t="s">
        <v>1431</v>
      </c>
      <c r="J366" s="131">
        <v>2070</v>
      </c>
    </row>
    <row r="367" spans="1:10" ht="22.8">
      <c r="A367" s="125" t="s">
        <v>739</v>
      </c>
      <c r="B367" s="126">
        <v>100860</v>
      </c>
      <c r="C367" s="127" t="s">
        <v>740</v>
      </c>
      <c r="D367" s="126" t="s">
        <v>12</v>
      </c>
      <c r="E367" s="126" t="s">
        <v>18</v>
      </c>
      <c r="F367" s="128">
        <v>8</v>
      </c>
      <c r="G367" s="129">
        <v>94.53</v>
      </c>
      <c r="H367" s="129">
        <f t="shared" ca="1" si="21"/>
        <v>118.16249999999999</v>
      </c>
      <c r="I367" s="130" t="s">
        <v>1432</v>
      </c>
      <c r="J367" s="131">
        <v>945.28</v>
      </c>
    </row>
    <row r="368" spans="1:10" ht="22.8">
      <c r="A368" s="125" t="s">
        <v>741</v>
      </c>
      <c r="B368" s="126" t="s">
        <v>742</v>
      </c>
      <c r="C368" s="127" t="s">
        <v>743</v>
      </c>
      <c r="D368" s="126" t="s">
        <v>22</v>
      </c>
      <c r="E368" s="126" t="s">
        <v>18</v>
      </c>
      <c r="F368" s="128">
        <v>9</v>
      </c>
      <c r="G368" s="129">
        <v>353.02</v>
      </c>
      <c r="H368" s="129">
        <f t="shared" ca="1" si="21"/>
        <v>441.27499999999998</v>
      </c>
      <c r="I368" s="130" t="s">
        <v>1433</v>
      </c>
      <c r="J368" s="131">
        <v>3971.52</v>
      </c>
    </row>
    <row r="369" spans="1:10" ht="31.2" customHeight="1">
      <c r="A369" s="125" t="s">
        <v>744</v>
      </c>
      <c r="B369" s="126">
        <v>100867</v>
      </c>
      <c r="C369" s="127" t="s">
        <v>745</v>
      </c>
      <c r="D369" s="126" t="s">
        <v>12</v>
      </c>
      <c r="E369" s="126" t="s">
        <v>18</v>
      </c>
      <c r="F369" s="128">
        <v>5</v>
      </c>
      <c r="G369" s="129">
        <v>373.57</v>
      </c>
      <c r="H369" s="129">
        <f t="shared" ca="1" si="21"/>
        <v>466.96249999999998</v>
      </c>
      <c r="I369" s="130" t="s">
        <v>1434</v>
      </c>
      <c r="J369" s="131">
        <v>2334.8000000000002</v>
      </c>
    </row>
    <row r="370" spans="1:10" ht="28.8" customHeight="1">
      <c r="A370" s="125" t="s">
        <v>746</v>
      </c>
      <c r="B370" s="126">
        <v>100868</v>
      </c>
      <c r="C370" s="127" t="s">
        <v>747</v>
      </c>
      <c r="D370" s="126" t="s">
        <v>12</v>
      </c>
      <c r="E370" s="126" t="s">
        <v>18</v>
      </c>
      <c r="F370" s="128">
        <v>7</v>
      </c>
      <c r="G370" s="129">
        <v>387.24</v>
      </c>
      <c r="H370" s="129">
        <f t="shared" ca="1" si="21"/>
        <v>484.05</v>
      </c>
      <c r="I370" s="130" t="s">
        <v>1435</v>
      </c>
      <c r="J370" s="131">
        <v>3388.35</v>
      </c>
    </row>
    <row r="371" spans="1:10" ht="30.6" customHeight="1">
      <c r="A371" s="125" t="s">
        <v>748</v>
      </c>
      <c r="B371" s="126">
        <v>100875</v>
      </c>
      <c r="C371" s="127" t="s">
        <v>749</v>
      </c>
      <c r="D371" s="126" t="s">
        <v>12</v>
      </c>
      <c r="E371" s="126" t="s">
        <v>18</v>
      </c>
      <c r="F371" s="128">
        <v>1</v>
      </c>
      <c r="G371" s="129">
        <v>1175.69</v>
      </c>
      <c r="H371" s="129">
        <f t="shared" ca="1" si="21"/>
        <v>1469.6125000000002</v>
      </c>
      <c r="I371" s="130" t="s">
        <v>1436</v>
      </c>
      <c r="J371" s="131">
        <f t="shared" ca="1" si="22"/>
        <v>1469.6125000000002</v>
      </c>
    </row>
    <row r="372" spans="1:10" ht="26.4" customHeight="1">
      <c r="A372" s="125" t="s">
        <v>750</v>
      </c>
      <c r="B372" s="126" t="s">
        <v>751</v>
      </c>
      <c r="C372" s="127" t="s">
        <v>752</v>
      </c>
      <c r="D372" s="126" t="s">
        <v>22</v>
      </c>
      <c r="E372" s="126" t="s">
        <v>18</v>
      </c>
      <c r="F372" s="128">
        <v>13</v>
      </c>
      <c r="G372" s="129">
        <v>346.45</v>
      </c>
      <c r="H372" s="129">
        <f t="shared" ca="1" si="21"/>
        <v>433.0625</v>
      </c>
      <c r="I372" s="130" t="s">
        <v>1437</v>
      </c>
      <c r="J372" s="131">
        <v>5629.78</v>
      </c>
    </row>
    <row r="373" spans="1:10">
      <c r="A373" s="125" t="s">
        <v>753</v>
      </c>
      <c r="B373" s="126" t="s">
        <v>754</v>
      </c>
      <c r="C373" s="127" t="s">
        <v>755</v>
      </c>
      <c r="D373" s="126" t="s">
        <v>22</v>
      </c>
      <c r="E373" s="126" t="s">
        <v>18</v>
      </c>
      <c r="F373" s="128">
        <v>17</v>
      </c>
      <c r="G373" s="129">
        <v>64.94</v>
      </c>
      <c r="H373" s="129">
        <f t="shared" ca="1" si="21"/>
        <v>81.174999999999997</v>
      </c>
      <c r="I373" s="130" t="s">
        <v>1438</v>
      </c>
      <c r="J373" s="131">
        <v>1380.06</v>
      </c>
    </row>
    <row r="374" spans="1:10">
      <c r="A374" s="125" t="s">
        <v>756</v>
      </c>
      <c r="B374" s="126" t="s">
        <v>757</v>
      </c>
      <c r="C374" s="127" t="s">
        <v>758</v>
      </c>
      <c r="D374" s="126" t="s">
        <v>22</v>
      </c>
      <c r="E374" s="126" t="s">
        <v>18</v>
      </c>
      <c r="F374" s="128">
        <v>9</v>
      </c>
      <c r="G374" s="129">
        <v>41.06</v>
      </c>
      <c r="H374" s="129">
        <f t="shared" ca="1" si="21"/>
        <v>51.325000000000003</v>
      </c>
      <c r="I374" s="130" t="s">
        <v>1439</v>
      </c>
      <c r="J374" s="131">
        <v>461.97</v>
      </c>
    </row>
    <row r="375" spans="1:10" ht="30.6" customHeight="1">
      <c r="A375" s="125" t="s">
        <v>759</v>
      </c>
      <c r="B375" s="126">
        <v>95547</v>
      </c>
      <c r="C375" s="127" t="s">
        <v>760</v>
      </c>
      <c r="D375" s="126" t="s">
        <v>12</v>
      </c>
      <c r="E375" s="126" t="s">
        <v>18</v>
      </c>
      <c r="F375" s="128">
        <v>14</v>
      </c>
      <c r="G375" s="129">
        <v>49.74</v>
      </c>
      <c r="H375" s="129">
        <f t="shared" ca="1" si="21"/>
        <v>62.175000000000004</v>
      </c>
      <c r="I375" s="130" t="s">
        <v>1440</v>
      </c>
      <c r="J375" s="131">
        <v>870.52</v>
      </c>
    </row>
    <row r="376" spans="1:10">
      <c r="A376" s="125" t="s">
        <v>761</v>
      </c>
      <c r="B376" s="126" t="s">
        <v>762</v>
      </c>
      <c r="C376" s="127" t="s">
        <v>763</v>
      </c>
      <c r="D376" s="126" t="s">
        <v>22</v>
      </c>
      <c r="E376" s="126" t="s">
        <v>13</v>
      </c>
      <c r="F376" s="128">
        <v>7.5</v>
      </c>
      <c r="G376" s="129">
        <v>436.16</v>
      </c>
      <c r="H376" s="129">
        <f t="shared" ref="H376:H393" ca="1" si="23">(G376*I$5)+G376</f>
        <v>545.20000000000005</v>
      </c>
      <c r="I376" s="130" t="s">
        <v>1441</v>
      </c>
      <c r="J376" s="131">
        <v>4089</v>
      </c>
    </row>
    <row r="377" spans="1:10">
      <c r="A377" s="125" t="s">
        <v>764</v>
      </c>
      <c r="B377" s="126" t="s">
        <v>765</v>
      </c>
      <c r="C377" s="127" t="s">
        <v>766</v>
      </c>
      <c r="D377" s="126" t="s">
        <v>22</v>
      </c>
      <c r="E377" s="126" t="s">
        <v>18</v>
      </c>
      <c r="F377" s="128">
        <v>10</v>
      </c>
      <c r="G377" s="129">
        <v>198.48</v>
      </c>
      <c r="H377" s="129">
        <f t="shared" ca="1" si="23"/>
        <v>248.1</v>
      </c>
      <c r="I377" s="130" t="s">
        <v>1442</v>
      </c>
      <c r="J377" s="131">
        <v>2481</v>
      </c>
    </row>
    <row r="378" spans="1:10">
      <c r="A378" s="125" t="s">
        <v>767</v>
      </c>
      <c r="B378" s="126" t="s">
        <v>768</v>
      </c>
      <c r="C378" s="127" t="s">
        <v>769</v>
      </c>
      <c r="D378" s="126" t="s">
        <v>22</v>
      </c>
      <c r="E378" s="126" t="s">
        <v>18</v>
      </c>
      <c r="F378" s="128">
        <v>107</v>
      </c>
      <c r="G378" s="129">
        <v>44.26</v>
      </c>
      <c r="H378" s="129">
        <f t="shared" ca="1" si="23"/>
        <v>55.324999999999996</v>
      </c>
      <c r="I378" s="130" t="s">
        <v>1443</v>
      </c>
      <c r="J378" s="131">
        <v>5920.31</v>
      </c>
    </row>
    <row r="379" spans="1:10">
      <c r="A379" s="125" t="s">
        <v>770</v>
      </c>
      <c r="B379" s="126" t="s">
        <v>771</v>
      </c>
      <c r="C379" s="127" t="s">
        <v>772</v>
      </c>
      <c r="D379" s="126" t="s">
        <v>22</v>
      </c>
      <c r="E379" s="126" t="s">
        <v>25</v>
      </c>
      <c r="F379" s="128">
        <v>9.6999999999999993</v>
      </c>
      <c r="G379" s="129">
        <v>129.19999999999999</v>
      </c>
      <c r="H379" s="129">
        <f t="shared" ca="1" si="23"/>
        <v>161.5</v>
      </c>
      <c r="I379" s="130" t="s">
        <v>1444</v>
      </c>
      <c r="J379" s="131">
        <v>1566.55</v>
      </c>
    </row>
    <row r="380" spans="1:10" ht="20.100000000000001" customHeight="1">
      <c r="A380" s="122">
        <v>16</v>
      </c>
      <c r="B380" s="141" t="s">
        <v>773</v>
      </c>
      <c r="C380" s="141"/>
      <c r="D380" s="141"/>
      <c r="E380" s="141"/>
      <c r="F380" s="141"/>
      <c r="G380" s="141"/>
      <c r="H380" s="122"/>
      <c r="I380" s="123">
        <v>4048.03</v>
      </c>
      <c r="J380" s="124">
        <f ca="1">SUM(J381:J393)</f>
        <v>5060.8624999999993</v>
      </c>
    </row>
    <row r="381" spans="1:10">
      <c r="A381" s="125" t="s">
        <v>774</v>
      </c>
      <c r="B381" s="126" t="s">
        <v>775</v>
      </c>
      <c r="C381" s="127" t="s">
        <v>776</v>
      </c>
      <c r="D381" s="126" t="s">
        <v>22</v>
      </c>
      <c r="E381" s="126" t="s">
        <v>18</v>
      </c>
      <c r="F381" s="128">
        <v>1</v>
      </c>
      <c r="G381" s="129">
        <v>673.58</v>
      </c>
      <c r="H381" s="129">
        <f t="shared" ca="1" si="23"/>
        <v>841.97500000000002</v>
      </c>
      <c r="I381" s="130" t="s">
        <v>1445</v>
      </c>
      <c r="J381" s="131">
        <f t="shared" ref="J381:J388" ca="1" si="24">H381*F381</f>
        <v>841.97500000000002</v>
      </c>
    </row>
    <row r="382" spans="1:10">
      <c r="A382" s="125" t="s">
        <v>777</v>
      </c>
      <c r="B382" s="126">
        <v>103029</v>
      </c>
      <c r="C382" s="127" t="s">
        <v>778</v>
      </c>
      <c r="D382" s="126" t="s">
        <v>12</v>
      </c>
      <c r="E382" s="126" t="s">
        <v>18</v>
      </c>
      <c r="F382" s="128">
        <v>2</v>
      </c>
      <c r="G382" s="129">
        <v>60.93</v>
      </c>
      <c r="H382" s="129">
        <f t="shared" ca="1" si="23"/>
        <v>76.162499999999994</v>
      </c>
      <c r="I382" s="130" t="s">
        <v>1446</v>
      </c>
      <c r="J382" s="131">
        <v>152.32</v>
      </c>
    </row>
    <row r="383" spans="1:10" ht="22.8">
      <c r="A383" s="125" t="s">
        <v>779</v>
      </c>
      <c r="B383" s="126">
        <v>92688</v>
      </c>
      <c r="C383" s="127" t="s">
        <v>780</v>
      </c>
      <c r="D383" s="126" t="s">
        <v>12</v>
      </c>
      <c r="E383" s="126" t="s">
        <v>25</v>
      </c>
      <c r="F383" s="128">
        <v>45.8</v>
      </c>
      <c r="G383" s="129">
        <v>39.99</v>
      </c>
      <c r="H383" s="129">
        <f t="shared" ca="1" si="23"/>
        <v>49.987500000000004</v>
      </c>
      <c r="I383" s="130" t="s">
        <v>1447</v>
      </c>
      <c r="J383" s="131">
        <v>2289.54</v>
      </c>
    </row>
    <row r="384" spans="1:10">
      <c r="A384" s="125" t="s">
        <v>781</v>
      </c>
      <c r="B384" s="126" t="s">
        <v>782</v>
      </c>
      <c r="C384" s="127" t="s">
        <v>783</v>
      </c>
      <c r="D384" s="126" t="s">
        <v>22</v>
      </c>
      <c r="E384" s="126" t="s">
        <v>18</v>
      </c>
      <c r="F384" s="128">
        <v>1</v>
      </c>
      <c r="G384" s="129">
        <v>14.38</v>
      </c>
      <c r="H384" s="129">
        <f t="shared" ca="1" si="23"/>
        <v>17.975000000000001</v>
      </c>
      <c r="I384" s="130" t="s">
        <v>1448</v>
      </c>
      <c r="J384" s="131">
        <f t="shared" ca="1" si="24"/>
        <v>17.975000000000001</v>
      </c>
    </row>
    <row r="385" spans="1:10">
      <c r="A385" s="125" t="s">
        <v>784</v>
      </c>
      <c r="B385" s="126" t="s">
        <v>785</v>
      </c>
      <c r="C385" s="127" t="s">
        <v>786</v>
      </c>
      <c r="D385" s="126" t="s">
        <v>22</v>
      </c>
      <c r="E385" s="126" t="s">
        <v>18</v>
      </c>
      <c r="F385" s="128">
        <v>4</v>
      </c>
      <c r="G385" s="129">
        <v>28.2</v>
      </c>
      <c r="H385" s="129">
        <f t="shared" ca="1" si="23"/>
        <v>35.25</v>
      </c>
      <c r="I385" s="130" t="s">
        <v>1339</v>
      </c>
      <c r="J385" s="131">
        <f t="shared" ca="1" si="24"/>
        <v>141</v>
      </c>
    </row>
    <row r="386" spans="1:10" ht="22.8">
      <c r="A386" s="125" t="s">
        <v>787</v>
      </c>
      <c r="B386" s="126">
        <v>95248</v>
      </c>
      <c r="C386" s="127" t="s">
        <v>788</v>
      </c>
      <c r="D386" s="126" t="s">
        <v>12</v>
      </c>
      <c r="E386" s="126" t="s">
        <v>18</v>
      </c>
      <c r="F386" s="128">
        <v>2</v>
      </c>
      <c r="G386" s="129">
        <v>71.28</v>
      </c>
      <c r="H386" s="129">
        <f t="shared" ca="1" si="23"/>
        <v>89.1</v>
      </c>
      <c r="I386" s="130" t="s">
        <v>1449</v>
      </c>
      <c r="J386" s="131">
        <v>178.2</v>
      </c>
    </row>
    <row r="387" spans="1:10" ht="22.8">
      <c r="A387" s="125" t="s">
        <v>789</v>
      </c>
      <c r="B387" s="126">
        <v>95249</v>
      </c>
      <c r="C387" s="127" t="s">
        <v>790</v>
      </c>
      <c r="D387" s="126" t="s">
        <v>12</v>
      </c>
      <c r="E387" s="126" t="s">
        <v>18</v>
      </c>
      <c r="F387" s="128">
        <v>4</v>
      </c>
      <c r="G387" s="129">
        <v>83.59</v>
      </c>
      <c r="H387" s="129">
        <f t="shared" ca="1" si="23"/>
        <v>104.48750000000001</v>
      </c>
      <c r="I387" s="130" t="s">
        <v>1450</v>
      </c>
      <c r="J387" s="131">
        <v>417.96</v>
      </c>
    </row>
    <row r="388" spans="1:10" ht="34.200000000000003" customHeight="1">
      <c r="A388" s="125" t="s">
        <v>791</v>
      </c>
      <c r="B388" s="126">
        <v>92705</v>
      </c>
      <c r="C388" s="127" t="s">
        <v>792</v>
      </c>
      <c r="D388" s="126" t="s">
        <v>12</v>
      </c>
      <c r="E388" s="126" t="s">
        <v>18</v>
      </c>
      <c r="F388" s="128">
        <v>1</v>
      </c>
      <c r="G388" s="129">
        <v>42.13</v>
      </c>
      <c r="H388" s="129">
        <f t="shared" ca="1" si="23"/>
        <v>52.662500000000001</v>
      </c>
      <c r="I388" s="130" t="s">
        <v>1451</v>
      </c>
      <c r="J388" s="131">
        <f t="shared" ca="1" si="24"/>
        <v>52.662500000000001</v>
      </c>
    </row>
    <row r="389" spans="1:10" ht="31.2" customHeight="1">
      <c r="A389" s="125" t="s">
        <v>793</v>
      </c>
      <c r="B389" s="126">
        <v>92695</v>
      </c>
      <c r="C389" s="127" t="s">
        <v>794</v>
      </c>
      <c r="D389" s="126" t="s">
        <v>12</v>
      </c>
      <c r="E389" s="126" t="s">
        <v>18</v>
      </c>
      <c r="F389" s="128">
        <v>8</v>
      </c>
      <c r="G389" s="129">
        <v>22.72</v>
      </c>
      <c r="H389" s="129">
        <f t="shared" ca="1" si="23"/>
        <v>28.4</v>
      </c>
      <c r="I389" s="130" t="s">
        <v>1452</v>
      </c>
      <c r="J389" s="131">
        <v>227.2</v>
      </c>
    </row>
    <row r="390" spans="1:10" ht="28.8" customHeight="1">
      <c r="A390" s="125" t="s">
        <v>795</v>
      </c>
      <c r="B390" s="126">
        <v>97548</v>
      </c>
      <c r="C390" s="127" t="s">
        <v>796</v>
      </c>
      <c r="D390" s="126" t="s">
        <v>12</v>
      </c>
      <c r="E390" s="126" t="s">
        <v>18</v>
      </c>
      <c r="F390" s="128">
        <v>2</v>
      </c>
      <c r="G390" s="129">
        <v>50.71</v>
      </c>
      <c r="H390" s="129">
        <f t="shared" ca="1" si="23"/>
        <v>63.387500000000003</v>
      </c>
      <c r="I390" s="130" t="s">
        <v>1453</v>
      </c>
      <c r="J390" s="131">
        <v>126.78</v>
      </c>
    </row>
    <row r="391" spans="1:10" ht="28.2" customHeight="1">
      <c r="A391" s="125" t="s">
        <v>797</v>
      </c>
      <c r="B391" s="126">
        <v>97549</v>
      </c>
      <c r="C391" s="127" t="s">
        <v>798</v>
      </c>
      <c r="D391" s="126" t="s">
        <v>12</v>
      </c>
      <c r="E391" s="126" t="s">
        <v>18</v>
      </c>
      <c r="F391" s="128">
        <v>6</v>
      </c>
      <c r="G391" s="129">
        <v>50.71</v>
      </c>
      <c r="H391" s="129">
        <f t="shared" ca="1" si="23"/>
        <v>63.387500000000003</v>
      </c>
      <c r="I391" s="130" t="s">
        <v>1454</v>
      </c>
      <c r="J391" s="131">
        <v>380.34</v>
      </c>
    </row>
    <row r="392" spans="1:10" ht="30" customHeight="1">
      <c r="A392" s="125" t="s">
        <v>799</v>
      </c>
      <c r="B392" s="126">
        <v>97547</v>
      </c>
      <c r="C392" s="127" t="s">
        <v>800</v>
      </c>
      <c r="D392" s="126" t="s">
        <v>12</v>
      </c>
      <c r="E392" s="126" t="s">
        <v>18</v>
      </c>
      <c r="F392" s="128">
        <v>2</v>
      </c>
      <c r="G392" s="129">
        <v>34.35</v>
      </c>
      <c r="H392" s="129">
        <f t="shared" ca="1" si="23"/>
        <v>42.9375</v>
      </c>
      <c r="I392" s="130" t="s">
        <v>1455</v>
      </c>
      <c r="J392" s="131">
        <v>85.88</v>
      </c>
    </row>
    <row r="393" spans="1:10" ht="22.8">
      <c r="A393" s="125" t="s">
        <v>801</v>
      </c>
      <c r="B393" s="126" t="s">
        <v>802</v>
      </c>
      <c r="C393" s="127" t="s">
        <v>803</v>
      </c>
      <c r="D393" s="126" t="s">
        <v>22</v>
      </c>
      <c r="E393" s="126" t="s">
        <v>13</v>
      </c>
      <c r="F393" s="128">
        <v>0.24</v>
      </c>
      <c r="G393" s="129">
        <v>496.76</v>
      </c>
      <c r="H393" s="129">
        <f t="shared" ca="1" si="23"/>
        <v>620.95000000000005</v>
      </c>
      <c r="I393" s="130" t="s">
        <v>1456</v>
      </c>
      <c r="J393" s="131">
        <v>149.03</v>
      </c>
    </row>
    <row r="394" spans="1:10" ht="20.100000000000001" customHeight="1">
      <c r="A394" s="122">
        <v>17</v>
      </c>
      <c r="B394" s="141" t="s">
        <v>804</v>
      </c>
      <c r="C394" s="141"/>
      <c r="D394" s="141"/>
      <c r="E394" s="141"/>
      <c r="F394" s="141"/>
      <c r="G394" s="141"/>
      <c r="H394" s="122"/>
      <c r="I394" s="123">
        <v>36912.61</v>
      </c>
      <c r="J394" s="124">
        <f ca="1">SUM(J395,J398,J401,J410,J416)</f>
        <v>44011.11</v>
      </c>
    </row>
    <row r="395" spans="1:10" ht="20.100000000000001" customHeight="1">
      <c r="A395" s="122" t="s">
        <v>805</v>
      </c>
      <c r="B395" s="141" t="s">
        <v>806</v>
      </c>
      <c r="C395" s="141"/>
      <c r="D395" s="141"/>
      <c r="E395" s="141"/>
      <c r="F395" s="141"/>
      <c r="G395" s="141"/>
      <c r="H395" s="122"/>
      <c r="I395" s="123">
        <v>2258.64</v>
      </c>
      <c r="J395" s="124">
        <f>SUM(J396:J397)</f>
        <v>2823.38</v>
      </c>
    </row>
    <row r="396" spans="1:10" ht="25.8" customHeight="1">
      <c r="A396" s="125" t="s">
        <v>807</v>
      </c>
      <c r="B396" s="126">
        <v>101909</v>
      </c>
      <c r="C396" s="127" t="s">
        <v>808</v>
      </c>
      <c r="D396" s="126" t="s">
        <v>12</v>
      </c>
      <c r="E396" s="126" t="s">
        <v>18</v>
      </c>
      <c r="F396" s="128">
        <v>6</v>
      </c>
      <c r="G396" s="129">
        <v>196.09</v>
      </c>
      <c r="H396" s="129">
        <f t="shared" ref="H396:H419" ca="1" si="25">(G396*I$5)+G396</f>
        <v>245.11250000000001</v>
      </c>
      <c r="I396" s="130" t="s">
        <v>1457</v>
      </c>
      <c r="J396" s="131">
        <v>1470.66</v>
      </c>
    </row>
    <row r="397" spans="1:10" ht="30.6" customHeight="1">
      <c r="A397" s="125" t="s">
        <v>809</v>
      </c>
      <c r="B397" s="126">
        <v>101907</v>
      </c>
      <c r="C397" s="127" t="s">
        <v>810</v>
      </c>
      <c r="D397" s="126" t="s">
        <v>12</v>
      </c>
      <c r="E397" s="126" t="s">
        <v>18</v>
      </c>
      <c r="F397" s="128">
        <v>2</v>
      </c>
      <c r="G397" s="129">
        <v>541.09</v>
      </c>
      <c r="H397" s="129">
        <f t="shared" ca="1" si="25"/>
        <v>676.36250000000007</v>
      </c>
      <c r="I397" s="130" t="s">
        <v>1458</v>
      </c>
      <c r="J397" s="131">
        <v>1352.72</v>
      </c>
    </row>
    <row r="398" spans="1:10" ht="20.100000000000001" customHeight="1">
      <c r="A398" s="122" t="s">
        <v>811</v>
      </c>
      <c r="B398" s="141" t="s">
        <v>812</v>
      </c>
      <c r="C398" s="141"/>
      <c r="D398" s="141"/>
      <c r="E398" s="141"/>
      <c r="F398" s="141"/>
      <c r="G398" s="141"/>
      <c r="H398" s="122"/>
      <c r="I398" s="123">
        <v>5370</v>
      </c>
      <c r="J398" s="124">
        <f ca="1">SUM(J399:J400)</f>
        <v>4582.3500000000004</v>
      </c>
    </row>
    <row r="399" spans="1:10" ht="42.6" customHeight="1">
      <c r="A399" s="125" t="s">
        <v>813</v>
      </c>
      <c r="B399" s="126">
        <v>101912</v>
      </c>
      <c r="C399" s="127" t="s">
        <v>814</v>
      </c>
      <c r="D399" s="126" t="s">
        <v>12</v>
      </c>
      <c r="E399" s="126" t="s">
        <v>18</v>
      </c>
      <c r="F399" s="128">
        <v>1</v>
      </c>
      <c r="G399" s="129">
        <v>1832.94</v>
      </c>
      <c r="H399" s="129">
        <f t="shared" ca="1" si="25"/>
        <v>2291.1750000000002</v>
      </c>
      <c r="I399" s="130" t="s">
        <v>1459</v>
      </c>
      <c r="J399" s="131">
        <f t="shared" ref="J399:J400" ca="1" si="26">H399*F399</f>
        <v>2291.1750000000002</v>
      </c>
    </row>
    <row r="400" spans="1:10" ht="39.6" customHeight="1">
      <c r="A400" s="125" t="s">
        <v>815</v>
      </c>
      <c r="B400" s="126">
        <v>101912</v>
      </c>
      <c r="C400" s="127" t="s">
        <v>1705</v>
      </c>
      <c r="D400" s="126" t="s">
        <v>12</v>
      </c>
      <c r="E400" s="126" t="s">
        <v>18</v>
      </c>
      <c r="F400" s="128">
        <v>1</v>
      </c>
      <c r="G400" s="129">
        <v>1832.94</v>
      </c>
      <c r="H400" s="129">
        <f t="shared" ca="1" si="25"/>
        <v>2291.1750000000002</v>
      </c>
      <c r="I400" s="130" t="s">
        <v>1460</v>
      </c>
      <c r="J400" s="131">
        <f t="shared" ca="1" si="26"/>
        <v>2291.1750000000002</v>
      </c>
    </row>
    <row r="401" spans="1:10" ht="20.100000000000001" customHeight="1">
      <c r="A401" s="122" t="s">
        <v>816</v>
      </c>
      <c r="B401" s="141" t="s">
        <v>612</v>
      </c>
      <c r="C401" s="141"/>
      <c r="D401" s="141"/>
      <c r="E401" s="141"/>
      <c r="F401" s="141"/>
      <c r="G401" s="141"/>
      <c r="H401" s="122"/>
      <c r="I401" s="123">
        <v>17555.05</v>
      </c>
      <c r="J401" s="124">
        <f ca="1">SUM(J402:J409)</f>
        <v>21944</v>
      </c>
    </row>
    <row r="402" spans="1:10" ht="29.4" customHeight="1">
      <c r="A402" s="125" t="s">
        <v>817</v>
      </c>
      <c r="B402" s="126">
        <v>94499</v>
      </c>
      <c r="C402" s="127" t="s">
        <v>580</v>
      </c>
      <c r="D402" s="126" t="s">
        <v>12</v>
      </c>
      <c r="E402" s="126" t="s">
        <v>18</v>
      </c>
      <c r="F402" s="128">
        <v>5</v>
      </c>
      <c r="G402" s="129">
        <v>396.1</v>
      </c>
      <c r="H402" s="129">
        <f t="shared" ca="1" si="25"/>
        <v>495.125</v>
      </c>
      <c r="I402" s="130" t="s">
        <v>1461</v>
      </c>
      <c r="J402" s="131">
        <v>2475.65</v>
      </c>
    </row>
    <row r="403" spans="1:10" ht="28.8" customHeight="1">
      <c r="A403" s="125" t="s">
        <v>818</v>
      </c>
      <c r="B403" s="126">
        <v>99624</v>
      </c>
      <c r="C403" s="127" t="s">
        <v>819</v>
      </c>
      <c r="D403" s="126" t="s">
        <v>12</v>
      </c>
      <c r="E403" s="126" t="s">
        <v>18</v>
      </c>
      <c r="F403" s="128">
        <v>3</v>
      </c>
      <c r="G403" s="129">
        <v>424.32</v>
      </c>
      <c r="H403" s="129">
        <f t="shared" ca="1" si="25"/>
        <v>530.4</v>
      </c>
      <c r="I403" s="130" t="s">
        <v>1462</v>
      </c>
      <c r="J403" s="131">
        <f t="shared" ref="J403:J409" ca="1" si="27">H403*F403</f>
        <v>1591.1999999999998</v>
      </c>
    </row>
    <row r="404" spans="1:10">
      <c r="A404" s="125" t="s">
        <v>820</v>
      </c>
      <c r="B404" s="126">
        <v>101917</v>
      </c>
      <c r="C404" s="127" t="s">
        <v>821</v>
      </c>
      <c r="D404" s="126" t="s">
        <v>12</v>
      </c>
      <c r="E404" s="126" t="s">
        <v>18</v>
      </c>
      <c r="F404" s="128">
        <v>1</v>
      </c>
      <c r="G404" s="129">
        <v>145.19999999999999</v>
      </c>
      <c r="H404" s="129">
        <f t="shared" ca="1" si="25"/>
        <v>181.5</v>
      </c>
      <c r="I404" s="130" t="s">
        <v>1463</v>
      </c>
      <c r="J404" s="131">
        <f t="shared" ca="1" si="27"/>
        <v>181.5</v>
      </c>
    </row>
    <row r="405" spans="1:10">
      <c r="A405" s="125" t="s">
        <v>822</v>
      </c>
      <c r="B405" s="126" t="s">
        <v>823</v>
      </c>
      <c r="C405" s="127" t="s">
        <v>824</v>
      </c>
      <c r="D405" s="126" t="s">
        <v>22</v>
      </c>
      <c r="E405" s="126" t="s">
        <v>18</v>
      </c>
      <c r="F405" s="128">
        <v>1</v>
      </c>
      <c r="G405" s="129">
        <v>4622.1899999999996</v>
      </c>
      <c r="H405" s="129">
        <f t="shared" ca="1" si="25"/>
        <v>5777.7374999999993</v>
      </c>
      <c r="I405" s="130" t="s">
        <v>1464</v>
      </c>
      <c r="J405" s="131">
        <f t="shared" ca="1" si="27"/>
        <v>5777.7374999999993</v>
      </c>
    </row>
    <row r="406" spans="1:10">
      <c r="A406" s="125" t="s">
        <v>825</v>
      </c>
      <c r="B406" s="126" t="s">
        <v>826</v>
      </c>
      <c r="C406" s="127" t="s">
        <v>827</v>
      </c>
      <c r="D406" s="126" t="s">
        <v>22</v>
      </c>
      <c r="E406" s="126" t="s">
        <v>18</v>
      </c>
      <c r="F406" s="128">
        <v>1</v>
      </c>
      <c r="G406" s="129">
        <v>489.31</v>
      </c>
      <c r="H406" s="129">
        <f t="shared" ca="1" si="25"/>
        <v>611.63750000000005</v>
      </c>
      <c r="I406" s="130" t="s">
        <v>1465</v>
      </c>
      <c r="J406" s="131">
        <f t="shared" ca="1" si="27"/>
        <v>611.63750000000005</v>
      </c>
    </row>
    <row r="407" spans="1:10">
      <c r="A407" s="125" t="s">
        <v>828</v>
      </c>
      <c r="B407" s="126" t="s">
        <v>829</v>
      </c>
      <c r="C407" s="127" t="s">
        <v>830</v>
      </c>
      <c r="D407" s="126" t="s">
        <v>22</v>
      </c>
      <c r="E407" s="126" t="s">
        <v>831</v>
      </c>
      <c r="F407" s="128">
        <v>1</v>
      </c>
      <c r="G407" s="129">
        <v>2806.98</v>
      </c>
      <c r="H407" s="129">
        <f t="shared" ca="1" si="25"/>
        <v>3508.7249999999999</v>
      </c>
      <c r="I407" s="130" t="s">
        <v>1466</v>
      </c>
      <c r="J407" s="131">
        <f t="shared" ca="1" si="27"/>
        <v>3508.7249999999999</v>
      </c>
    </row>
    <row r="408" spans="1:10" ht="22.8">
      <c r="A408" s="125" t="s">
        <v>832</v>
      </c>
      <c r="B408" s="126">
        <v>102111</v>
      </c>
      <c r="C408" s="127" t="s">
        <v>833</v>
      </c>
      <c r="D408" s="126" t="s">
        <v>12</v>
      </c>
      <c r="E408" s="126" t="s">
        <v>18</v>
      </c>
      <c r="F408" s="128">
        <v>2</v>
      </c>
      <c r="G408" s="129">
        <v>1182.96</v>
      </c>
      <c r="H408" s="129">
        <f t="shared" ca="1" si="25"/>
        <v>1478.7</v>
      </c>
      <c r="I408" s="130" t="s">
        <v>1467</v>
      </c>
      <c r="J408" s="131">
        <v>2957.4</v>
      </c>
    </row>
    <row r="409" spans="1:10">
      <c r="A409" s="125" t="s">
        <v>834</v>
      </c>
      <c r="B409" s="126" t="s">
        <v>835</v>
      </c>
      <c r="C409" s="127" t="s">
        <v>836</v>
      </c>
      <c r="D409" s="126" t="s">
        <v>22</v>
      </c>
      <c r="E409" s="126" t="s">
        <v>18</v>
      </c>
      <c r="F409" s="128">
        <v>1</v>
      </c>
      <c r="G409" s="129">
        <v>3872.12</v>
      </c>
      <c r="H409" s="129">
        <f t="shared" ca="1" si="25"/>
        <v>4840.1499999999996</v>
      </c>
      <c r="I409" s="130" t="s">
        <v>1468</v>
      </c>
      <c r="J409" s="131">
        <f t="shared" ca="1" si="27"/>
        <v>4840.1499999999996</v>
      </c>
    </row>
    <row r="410" spans="1:10" ht="20.100000000000001" customHeight="1">
      <c r="A410" s="122" t="s">
        <v>837</v>
      </c>
      <c r="B410" s="141" t="s">
        <v>619</v>
      </c>
      <c r="C410" s="141"/>
      <c r="D410" s="141"/>
      <c r="E410" s="141"/>
      <c r="F410" s="141"/>
      <c r="G410" s="141"/>
      <c r="H410" s="122"/>
      <c r="I410" s="123">
        <v>8938.48</v>
      </c>
      <c r="J410" s="124">
        <f>SUM(J411:J415)</f>
        <v>11173.37</v>
      </c>
    </row>
    <row r="411" spans="1:10" ht="39" customHeight="1">
      <c r="A411" s="125" t="s">
        <v>838</v>
      </c>
      <c r="B411" s="126">
        <v>94473</v>
      </c>
      <c r="C411" s="127" t="s">
        <v>839</v>
      </c>
      <c r="D411" s="126" t="s">
        <v>12</v>
      </c>
      <c r="E411" s="126" t="s">
        <v>18</v>
      </c>
      <c r="F411" s="128">
        <v>7</v>
      </c>
      <c r="G411" s="129">
        <v>116.17</v>
      </c>
      <c r="H411" s="129">
        <f t="shared" ca="1" si="25"/>
        <v>145.21250000000001</v>
      </c>
      <c r="I411" s="130" t="s">
        <v>1469</v>
      </c>
      <c r="J411" s="131">
        <v>1016.47</v>
      </c>
    </row>
    <row r="412" spans="1:10" ht="41.4" customHeight="1">
      <c r="A412" s="125" t="s">
        <v>840</v>
      </c>
      <c r="B412" s="126">
        <v>92367</v>
      </c>
      <c r="C412" s="127" t="s">
        <v>841</v>
      </c>
      <c r="D412" s="126" t="s">
        <v>12</v>
      </c>
      <c r="E412" s="126" t="s">
        <v>25</v>
      </c>
      <c r="F412" s="128">
        <v>63</v>
      </c>
      <c r="G412" s="129">
        <v>112.11</v>
      </c>
      <c r="H412" s="129">
        <f t="shared" ca="1" si="25"/>
        <v>140.13749999999999</v>
      </c>
      <c r="I412" s="130" t="s">
        <v>1470</v>
      </c>
      <c r="J412" s="131">
        <v>8828.82</v>
      </c>
    </row>
    <row r="413" spans="1:10" ht="34.200000000000003">
      <c r="A413" s="125" t="s">
        <v>842</v>
      </c>
      <c r="B413" s="126">
        <v>94474</v>
      </c>
      <c r="C413" s="127" t="s">
        <v>844</v>
      </c>
      <c r="D413" s="126" t="s">
        <v>12</v>
      </c>
      <c r="E413" s="126" t="s">
        <v>18</v>
      </c>
      <c r="F413" s="128">
        <v>1</v>
      </c>
      <c r="G413" s="129">
        <v>126.22</v>
      </c>
      <c r="H413" s="129">
        <f t="shared" ca="1" si="25"/>
        <v>157.77500000000001</v>
      </c>
      <c r="I413" s="130" t="s">
        <v>1471</v>
      </c>
      <c r="J413" s="131">
        <v>157.78</v>
      </c>
    </row>
    <row r="414" spans="1:10" ht="30.6" customHeight="1">
      <c r="A414" s="125" t="s">
        <v>843</v>
      </c>
      <c r="B414" s="126">
        <v>92665</v>
      </c>
      <c r="C414" s="127" t="s">
        <v>846</v>
      </c>
      <c r="D414" s="126" t="s">
        <v>12</v>
      </c>
      <c r="E414" s="126" t="s">
        <v>18</v>
      </c>
      <c r="F414" s="128">
        <v>2</v>
      </c>
      <c r="G414" s="129">
        <v>73.510000000000005</v>
      </c>
      <c r="H414" s="129">
        <f t="shared" ca="1" si="25"/>
        <v>91.887500000000003</v>
      </c>
      <c r="I414" s="130" t="s">
        <v>1472</v>
      </c>
      <c r="J414" s="131">
        <v>183.78</v>
      </c>
    </row>
    <row r="415" spans="1:10" ht="31.8" customHeight="1">
      <c r="A415" s="125" t="s">
        <v>845</v>
      </c>
      <c r="B415" s="126">
        <v>92642</v>
      </c>
      <c r="C415" s="127" t="s">
        <v>847</v>
      </c>
      <c r="D415" s="126" t="s">
        <v>12</v>
      </c>
      <c r="E415" s="126" t="s">
        <v>18</v>
      </c>
      <c r="F415" s="128">
        <v>4</v>
      </c>
      <c r="G415" s="129">
        <v>197.3</v>
      </c>
      <c r="H415" s="129">
        <f t="shared" ca="1" si="25"/>
        <v>246.625</v>
      </c>
      <c r="I415" s="130" t="s">
        <v>1473</v>
      </c>
      <c r="J415" s="131">
        <v>986.52</v>
      </c>
    </row>
    <row r="416" spans="1:10" ht="20.100000000000001" customHeight="1">
      <c r="A416" s="122" t="s">
        <v>848</v>
      </c>
      <c r="B416" s="141" t="s">
        <v>849</v>
      </c>
      <c r="C416" s="141"/>
      <c r="D416" s="141"/>
      <c r="E416" s="141"/>
      <c r="F416" s="141"/>
      <c r="G416" s="141"/>
      <c r="H416" s="122"/>
      <c r="I416" s="123">
        <v>2790.44</v>
      </c>
      <c r="J416" s="124">
        <f>SUM(J417:J419)</f>
        <v>3488.01</v>
      </c>
    </row>
    <row r="417" spans="1:10" ht="31.2" customHeight="1">
      <c r="A417" s="125" t="s">
        <v>850</v>
      </c>
      <c r="B417" s="126">
        <v>97599</v>
      </c>
      <c r="C417" s="127" t="s">
        <v>851</v>
      </c>
      <c r="D417" s="126" t="s">
        <v>12</v>
      </c>
      <c r="E417" s="126" t="s">
        <v>18</v>
      </c>
      <c r="F417" s="128">
        <v>36</v>
      </c>
      <c r="G417" s="129">
        <v>23.69</v>
      </c>
      <c r="H417" s="129">
        <f t="shared" ca="1" si="25"/>
        <v>29.612500000000001</v>
      </c>
      <c r="I417" s="130" t="s">
        <v>1474</v>
      </c>
      <c r="J417" s="131">
        <v>1065.96</v>
      </c>
    </row>
    <row r="418" spans="1:10">
      <c r="A418" s="125" t="s">
        <v>852</v>
      </c>
      <c r="B418" s="126" t="s">
        <v>853</v>
      </c>
      <c r="C418" s="127" t="s">
        <v>854</v>
      </c>
      <c r="D418" s="126" t="s">
        <v>22</v>
      </c>
      <c r="E418" s="126" t="s">
        <v>18</v>
      </c>
      <c r="F418" s="128">
        <v>34</v>
      </c>
      <c r="G418" s="129">
        <v>45.4</v>
      </c>
      <c r="H418" s="129">
        <f t="shared" ca="1" si="25"/>
        <v>56.75</v>
      </c>
      <c r="I418" s="130" t="s">
        <v>1475</v>
      </c>
      <c r="J418" s="131">
        <v>1929.5</v>
      </c>
    </row>
    <row r="419" spans="1:10" ht="33.6" customHeight="1">
      <c r="A419" s="125" t="s">
        <v>855</v>
      </c>
      <c r="B419" s="126">
        <v>102520</v>
      </c>
      <c r="C419" s="127" t="s">
        <v>856</v>
      </c>
      <c r="D419" s="126" t="s">
        <v>12</v>
      </c>
      <c r="E419" s="126" t="s">
        <v>13</v>
      </c>
      <c r="F419" s="128">
        <v>5</v>
      </c>
      <c r="G419" s="129">
        <v>78.81</v>
      </c>
      <c r="H419" s="129">
        <f t="shared" ca="1" si="25"/>
        <v>98.512500000000003</v>
      </c>
      <c r="I419" s="130" t="s">
        <v>1476</v>
      </c>
      <c r="J419" s="131">
        <v>492.55</v>
      </c>
    </row>
    <row r="420" spans="1:10" ht="20.100000000000001" customHeight="1">
      <c r="A420" s="122">
        <v>18</v>
      </c>
      <c r="B420" s="141" t="s">
        <v>857</v>
      </c>
      <c r="C420" s="141"/>
      <c r="D420" s="141"/>
      <c r="E420" s="141"/>
      <c r="F420" s="141"/>
      <c r="G420" s="141"/>
      <c r="H420" s="122"/>
      <c r="I420" s="123">
        <v>186591.88</v>
      </c>
      <c r="J420" s="124">
        <f ca="1">SUM(J421,J426,J442,J452,J462,J465)</f>
        <v>233256.82500000001</v>
      </c>
    </row>
    <row r="421" spans="1:10" ht="20.100000000000001" customHeight="1">
      <c r="A421" s="122" t="s">
        <v>858</v>
      </c>
      <c r="B421" s="141" t="s">
        <v>859</v>
      </c>
      <c r="C421" s="141"/>
      <c r="D421" s="141"/>
      <c r="E421" s="141"/>
      <c r="F421" s="141"/>
      <c r="G421" s="141"/>
      <c r="H421" s="122"/>
      <c r="I421" s="123">
        <v>3052.17</v>
      </c>
      <c r="J421" s="124">
        <f ca="1">SUM(J422:J425)</f>
        <v>3815.2949999999996</v>
      </c>
    </row>
    <row r="422" spans="1:10" ht="37.200000000000003" customHeight="1">
      <c r="A422" s="125" t="s">
        <v>860</v>
      </c>
      <c r="B422" s="126">
        <v>101875</v>
      </c>
      <c r="C422" s="127" t="s">
        <v>861</v>
      </c>
      <c r="D422" s="126" t="s">
        <v>12</v>
      </c>
      <c r="E422" s="126" t="s">
        <v>18</v>
      </c>
      <c r="F422" s="128">
        <v>1</v>
      </c>
      <c r="G422" s="129">
        <v>358.77</v>
      </c>
      <c r="H422" s="129">
        <f t="shared" ref="H422:H479" ca="1" si="28">(G422*I$5)+G422</f>
        <v>448.46249999999998</v>
      </c>
      <c r="I422" s="130" t="s">
        <v>1477</v>
      </c>
      <c r="J422" s="131">
        <f t="shared" ref="J422:J425" ca="1" si="29">H422*F422</f>
        <v>448.46249999999998</v>
      </c>
    </row>
    <row r="423" spans="1:10" ht="40.799999999999997" customHeight="1">
      <c r="A423" s="125" t="s">
        <v>862</v>
      </c>
      <c r="B423" s="126">
        <v>101883</v>
      </c>
      <c r="C423" s="127" t="s">
        <v>863</v>
      </c>
      <c r="D423" s="126" t="s">
        <v>12</v>
      </c>
      <c r="E423" s="126" t="s">
        <v>18</v>
      </c>
      <c r="F423" s="128">
        <v>2</v>
      </c>
      <c r="G423" s="129">
        <v>493.73</v>
      </c>
      <c r="H423" s="129">
        <f t="shared" ca="1" si="28"/>
        <v>617.16250000000002</v>
      </c>
      <c r="I423" s="130" t="s">
        <v>1478</v>
      </c>
      <c r="J423" s="131">
        <v>1234.32</v>
      </c>
    </row>
    <row r="424" spans="1:10" ht="42" customHeight="1">
      <c r="A424" s="125" t="s">
        <v>864</v>
      </c>
      <c r="B424" s="126">
        <v>101879</v>
      </c>
      <c r="C424" s="127" t="s">
        <v>865</v>
      </c>
      <c r="D424" s="126" t="s">
        <v>12</v>
      </c>
      <c r="E424" s="126" t="s">
        <v>18</v>
      </c>
      <c r="F424" s="128">
        <v>3</v>
      </c>
      <c r="G424" s="129">
        <v>517.76</v>
      </c>
      <c r="H424" s="129">
        <f t="shared" ca="1" si="28"/>
        <v>647.20000000000005</v>
      </c>
      <c r="I424" s="130" t="s">
        <v>1479</v>
      </c>
      <c r="J424" s="131">
        <f t="shared" ca="1" si="29"/>
        <v>1941.6000000000001</v>
      </c>
    </row>
    <row r="425" spans="1:10" ht="31.2" customHeight="1">
      <c r="A425" s="125" t="s">
        <v>866</v>
      </c>
      <c r="B425" s="126">
        <v>101946</v>
      </c>
      <c r="C425" s="127" t="s">
        <v>867</v>
      </c>
      <c r="D425" s="126" t="s">
        <v>12</v>
      </c>
      <c r="E425" s="126" t="s">
        <v>18</v>
      </c>
      <c r="F425" s="128">
        <v>1</v>
      </c>
      <c r="G425" s="129">
        <v>152.72999999999999</v>
      </c>
      <c r="H425" s="129">
        <f t="shared" ca="1" si="28"/>
        <v>190.91249999999999</v>
      </c>
      <c r="I425" s="130" t="s">
        <v>1480</v>
      </c>
      <c r="J425" s="131">
        <f t="shared" ca="1" si="29"/>
        <v>190.91249999999999</v>
      </c>
    </row>
    <row r="426" spans="1:10" ht="20.100000000000001" customHeight="1">
      <c r="A426" s="122" t="s">
        <v>868</v>
      </c>
      <c r="B426" s="141" t="s">
        <v>869</v>
      </c>
      <c r="C426" s="141"/>
      <c r="D426" s="141"/>
      <c r="E426" s="141"/>
      <c r="F426" s="141"/>
      <c r="G426" s="141"/>
      <c r="H426" s="122"/>
      <c r="I426" s="123">
        <v>17136.150000000001</v>
      </c>
      <c r="J426" s="124">
        <f ca="1">SUM(J427:J441)</f>
        <v>21420.489999999998</v>
      </c>
    </row>
    <row r="427" spans="1:10" ht="28.8" customHeight="1">
      <c r="A427" s="125" t="s">
        <v>870</v>
      </c>
      <c r="B427" s="126">
        <v>93653</v>
      </c>
      <c r="C427" s="127" t="s">
        <v>871</v>
      </c>
      <c r="D427" s="126" t="s">
        <v>12</v>
      </c>
      <c r="E427" s="126" t="s">
        <v>18</v>
      </c>
      <c r="F427" s="128">
        <v>66</v>
      </c>
      <c r="G427" s="129">
        <v>17.41</v>
      </c>
      <c r="H427" s="129">
        <f t="shared" ca="1" si="28"/>
        <v>21.762499999999999</v>
      </c>
      <c r="I427" s="130" t="s">
        <v>1481</v>
      </c>
      <c r="J427" s="131">
        <v>1436.16</v>
      </c>
    </row>
    <row r="428" spans="1:10" ht="30" customHeight="1">
      <c r="A428" s="125" t="s">
        <v>872</v>
      </c>
      <c r="B428" s="126">
        <v>93654</v>
      </c>
      <c r="C428" s="127" t="s">
        <v>873</v>
      </c>
      <c r="D428" s="126" t="s">
        <v>12</v>
      </c>
      <c r="E428" s="126" t="s">
        <v>18</v>
      </c>
      <c r="F428" s="128">
        <v>5</v>
      </c>
      <c r="G428" s="129">
        <v>18.03</v>
      </c>
      <c r="H428" s="129">
        <f t="shared" ca="1" si="28"/>
        <v>22.537500000000001</v>
      </c>
      <c r="I428" s="130" t="s">
        <v>1482</v>
      </c>
      <c r="J428" s="131">
        <v>112.7</v>
      </c>
    </row>
    <row r="429" spans="1:10" ht="30.6" customHeight="1">
      <c r="A429" s="125" t="s">
        <v>874</v>
      </c>
      <c r="B429" s="126">
        <v>93655</v>
      </c>
      <c r="C429" s="127" t="s">
        <v>875</v>
      </c>
      <c r="D429" s="126" t="s">
        <v>12</v>
      </c>
      <c r="E429" s="126" t="s">
        <v>18</v>
      </c>
      <c r="F429" s="128">
        <v>16</v>
      </c>
      <c r="G429" s="129">
        <v>19.440000000000001</v>
      </c>
      <c r="H429" s="129">
        <f t="shared" ca="1" si="28"/>
        <v>24.3</v>
      </c>
      <c r="I429" s="130" t="s">
        <v>1483</v>
      </c>
      <c r="J429" s="131">
        <v>388.8</v>
      </c>
    </row>
    <row r="430" spans="1:10" ht="25.8" customHeight="1">
      <c r="A430" s="125" t="s">
        <v>876</v>
      </c>
      <c r="B430" s="126">
        <v>93656</v>
      </c>
      <c r="C430" s="127" t="s">
        <v>877</v>
      </c>
      <c r="D430" s="126" t="s">
        <v>12</v>
      </c>
      <c r="E430" s="126" t="s">
        <v>18</v>
      </c>
      <c r="F430" s="128">
        <v>4</v>
      </c>
      <c r="G430" s="129">
        <v>19.440000000000001</v>
      </c>
      <c r="H430" s="129">
        <f t="shared" ca="1" si="28"/>
        <v>24.3</v>
      </c>
      <c r="I430" s="130" t="s">
        <v>1484</v>
      </c>
      <c r="J430" s="131">
        <v>97.2</v>
      </c>
    </row>
    <row r="431" spans="1:10" ht="24" customHeight="1">
      <c r="A431" s="125" t="s">
        <v>878</v>
      </c>
      <c r="B431" s="126">
        <v>93658</v>
      </c>
      <c r="C431" s="127" t="s">
        <v>879</v>
      </c>
      <c r="D431" s="126" t="s">
        <v>12</v>
      </c>
      <c r="E431" s="126" t="s">
        <v>18</v>
      </c>
      <c r="F431" s="128">
        <v>1</v>
      </c>
      <c r="G431" s="129">
        <v>30.26</v>
      </c>
      <c r="H431" s="129">
        <f t="shared" ca="1" si="28"/>
        <v>37.825000000000003</v>
      </c>
      <c r="I431" s="130" t="s">
        <v>1485</v>
      </c>
      <c r="J431" s="131">
        <f t="shared" ref="J431:J478" ca="1" si="30">H431*F431</f>
        <v>37.825000000000003</v>
      </c>
    </row>
    <row r="432" spans="1:10" ht="31.8" customHeight="1">
      <c r="A432" s="125" t="s">
        <v>880</v>
      </c>
      <c r="B432" s="126">
        <v>93668</v>
      </c>
      <c r="C432" s="127" t="s">
        <v>881</v>
      </c>
      <c r="D432" s="126" t="s">
        <v>12</v>
      </c>
      <c r="E432" s="126" t="s">
        <v>18</v>
      </c>
      <c r="F432" s="128">
        <v>2</v>
      </c>
      <c r="G432" s="129">
        <v>110.8</v>
      </c>
      <c r="H432" s="129">
        <f t="shared" ca="1" si="28"/>
        <v>138.5</v>
      </c>
      <c r="I432" s="130" t="s">
        <v>1486</v>
      </c>
      <c r="J432" s="131">
        <f t="shared" ca="1" si="30"/>
        <v>277</v>
      </c>
    </row>
    <row r="433" spans="1:10" ht="28.2" customHeight="1">
      <c r="A433" s="125" t="s">
        <v>882</v>
      </c>
      <c r="B433" s="126">
        <v>93671</v>
      </c>
      <c r="C433" s="127" t="s">
        <v>883</v>
      </c>
      <c r="D433" s="126" t="s">
        <v>12</v>
      </c>
      <c r="E433" s="126" t="s">
        <v>18</v>
      </c>
      <c r="F433" s="128">
        <v>4</v>
      </c>
      <c r="G433" s="129">
        <v>119.9</v>
      </c>
      <c r="H433" s="129">
        <f t="shared" ca="1" si="28"/>
        <v>149.875</v>
      </c>
      <c r="I433" s="130" t="s">
        <v>1487</v>
      </c>
      <c r="J433" s="131">
        <v>599.52</v>
      </c>
    </row>
    <row r="434" spans="1:10" ht="31.2" customHeight="1">
      <c r="A434" s="125" t="s">
        <v>884</v>
      </c>
      <c r="B434" s="126">
        <v>93672</v>
      </c>
      <c r="C434" s="127" t="s">
        <v>885</v>
      </c>
      <c r="D434" s="126" t="s">
        <v>12</v>
      </c>
      <c r="E434" s="126" t="s">
        <v>18</v>
      </c>
      <c r="F434" s="128">
        <v>2</v>
      </c>
      <c r="G434" s="129">
        <v>127.11</v>
      </c>
      <c r="H434" s="129">
        <f t="shared" ca="1" si="28"/>
        <v>158.88749999999999</v>
      </c>
      <c r="I434" s="130" t="s">
        <v>1488</v>
      </c>
      <c r="J434" s="131">
        <f t="shared" ca="1" si="30"/>
        <v>317.77499999999998</v>
      </c>
    </row>
    <row r="435" spans="1:10" ht="25.8" customHeight="1">
      <c r="A435" s="125" t="s">
        <v>886</v>
      </c>
      <c r="B435" s="126">
        <v>93673</v>
      </c>
      <c r="C435" s="127" t="s">
        <v>887</v>
      </c>
      <c r="D435" s="126" t="s">
        <v>12</v>
      </c>
      <c r="E435" s="126" t="s">
        <v>18</v>
      </c>
      <c r="F435" s="128">
        <v>2</v>
      </c>
      <c r="G435" s="129">
        <v>136.66999999999999</v>
      </c>
      <c r="H435" s="129">
        <f t="shared" ca="1" si="28"/>
        <v>170.83749999999998</v>
      </c>
      <c r="I435" s="130" t="s">
        <v>1489</v>
      </c>
      <c r="J435" s="131">
        <f t="shared" ca="1" si="30"/>
        <v>341.67499999999995</v>
      </c>
    </row>
    <row r="436" spans="1:10" ht="33.6" customHeight="1">
      <c r="A436" s="125" t="s">
        <v>888</v>
      </c>
      <c r="B436" s="126">
        <v>101894</v>
      </c>
      <c r="C436" s="127" t="s">
        <v>889</v>
      </c>
      <c r="D436" s="126" t="s">
        <v>12</v>
      </c>
      <c r="E436" s="126" t="s">
        <v>18</v>
      </c>
      <c r="F436" s="128">
        <v>2</v>
      </c>
      <c r="G436" s="129">
        <v>224.66</v>
      </c>
      <c r="H436" s="129">
        <f t="shared" ca="1" si="28"/>
        <v>280.82499999999999</v>
      </c>
      <c r="I436" s="130" t="s">
        <v>1490</v>
      </c>
      <c r="J436" s="131">
        <v>561.66</v>
      </c>
    </row>
    <row r="437" spans="1:10" ht="30" customHeight="1">
      <c r="A437" s="125" t="s">
        <v>890</v>
      </c>
      <c r="B437" s="126">
        <v>101897</v>
      </c>
      <c r="C437" s="127" t="s">
        <v>891</v>
      </c>
      <c r="D437" s="126" t="s">
        <v>12</v>
      </c>
      <c r="E437" s="126" t="s">
        <v>18</v>
      </c>
      <c r="F437" s="128">
        <v>2</v>
      </c>
      <c r="G437" s="129">
        <v>1559.99</v>
      </c>
      <c r="H437" s="129">
        <f t="shared" ca="1" si="28"/>
        <v>1949.9875</v>
      </c>
      <c r="I437" s="130" t="s">
        <v>1491</v>
      </c>
      <c r="J437" s="131">
        <f t="shared" ca="1" si="30"/>
        <v>3899.9749999999999</v>
      </c>
    </row>
    <row r="438" spans="1:10">
      <c r="A438" s="125" t="s">
        <v>892</v>
      </c>
      <c r="B438" s="126" t="s">
        <v>893</v>
      </c>
      <c r="C438" s="127" t="s">
        <v>894</v>
      </c>
      <c r="D438" s="126" t="s">
        <v>22</v>
      </c>
      <c r="E438" s="126" t="s">
        <v>18</v>
      </c>
      <c r="F438" s="128">
        <v>1</v>
      </c>
      <c r="G438" s="129">
        <v>237.6</v>
      </c>
      <c r="H438" s="129">
        <f t="shared" ca="1" si="28"/>
        <v>297</v>
      </c>
      <c r="I438" s="130" t="s">
        <v>1492</v>
      </c>
      <c r="J438" s="131">
        <f t="shared" ca="1" si="30"/>
        <v>297</v>
      </c>
    </row>
    <row r="439" spans="1:10">
      <c r="A439" s="125" t="s">
        <v>895</v>
      </c>
      <c r="B439" s="126" t="s">
        <v>896</v>
      </c>
      <c r="C439" s="127" t="s">
        <v>897</v>
      </c>
      <c r="D439" s="126" t="s">
        <v>22</v>
      </c>
      <c r="E439" s="126" t="s">
        <v>18</v>
      </c>
      <c r="F439" s="128">
        <v>5</v>
      </c>
      <c r="G439" s="129">
        <v>243.97</v>
      </c>
      <c r="H439" s="129">
        <f t="shared" ca="1" si="28"/>
        <v>304.96249999999998</v>
      </c>
      <c r="I439" s="130" t="s">
        <v>1493</v>
      </c>
      <c r="J439" s="131">
        <v>1524.8</v>
      </c>
    </row>
    <row r="440" spans="1:10">
      <c r="A440" s="125" t="s">
        <v>898</v>
      </c>
      <c r="B440" s="126" t="s">
        <v>899</v>
      </c>
      <c r="C440" s="127" t="s">
        <v>900</v>
      </c>
      <c r="D440" s="126" t="s">
        <v>22</v>
      </c>
      <c r="E440" s="126" t="s">
        <v>18</v>
      </c>
      <c r="F440" s="128">
        <v>40</v>
      </c>
      <c r="G440" s="129">
        <v>172.2</v>
      </c>
      <c r="H440" s="129">
        <f t="shared" ca="1" si="28"/>
        <v>215.25</v>
      </c>
      <c r="I440" s="130" t="s">
        <v>1494</v>
      </c>
      <c r="J440" s="131">
        <v>8610</v>
      </c>
    </row>
    <row r="441" spans="1:10">
      <c r="A441" s="125" t="s">
        <v>901</v>
      </c>
      <c r="B441" s="126" t="s">
        <v>902</v>
      </c>
      <c r="C441" s="127" t="s">
        <v>903</v>
      </c>
      <c r="D441" s="126" t="s">
        <v>22</v>
      </c>
      <c r="E441" s="126" t="s">
        <v>18</v>
      </c>
      <c r="F441" s="128">
        <v>8</v>
      </c>
      <c r="G441" s="129">
        <v>291.83999999999997</v>
      </c>
      <c r="H441" s="129">
        <f t="shared" ca="1" si="28"/>
        <v>364.79999999999995</v>
      </c>
      <c r="I441" s="130" t="s">
        <v>1495</v>
      </c>
      <c r="J441" s="131">
        <v>2918.4</v>
      </c>
    </row>
    <row r="442" spans="1:10" ht="20.100000000000001" customHeight="1">
      <c r="A442" s="122" t="s">
        <v>904</v>
      </c>
      <c r="B442" s="141" t="s">
        <v>905</v>
      </c>
      <c r="C442" s="141"/>
      <c r="D442" s="141"/>
      <c r="E442" s="141"/>
      <c r="F442" s="141"/>
      <c r="G442" s="141"/>
      <c r="H442" s="122"/>
      <c r="I442" s="123">
        <v>26036.720000000001</v>
      </c>
      <c r="J442" s="124">
        <f>SUM(J443:J451)</f>
        <v>32551.379999999997</v>
      </c>
    </row>
    <row r="443" spans="1:10" ht="31.8" customHeight="1">
      <c r="A443" s="125" t="s">
        <v>906</v>
      </c>
      <c r="B443" s="126">
        <v>91834</v>
      </c>
      <c r="C443" s="127" t="s">
        <v>907</v>
      </c>
      <c r="D443" s="126" t="s">
        <v>12</v>
      </c>
      <c r="E443" s="126" t="s">
        <v>25</v>
      </c>
      <c r="F443" s="128">
        <v>408.3</v>
      </c>
      <c r="G443" s="129">
        <v>16.920000000000002</v>
      </c>
      <c r="H443" s="129">
        <f t="shared" ca="1" si="28"/>
        <v>21.150000000000002</v>
      </c>
      <c r="I443" s="130" t="s">
        <v>1496</v>
      </c>
      <c r="J443" s="131">
        <v>8635.35</v>
      </c>
    </row>
    <row r="444" spans="1:10" ht="32.4" customHeight="1">
      <c r="A444" s="125" t="s">
        <v>908</v>
      </c>
      <c r="B444" s="126">
        <v>91836</v>
      </c>
      <c r="C444" s="127" t="s">
        <v>909</v>
      </c>
      <c r="D444" s="126" t="s">
        <v>12</v>
      </c>
      <c r="E444" s="126" t="s">
        <v>25</v>
      </c>
      <c r="F444" s="128">
        <v>174.4</v>
      </c>
      <c r="G444" s="129">
        <v>19.8</v>
      </c>
      <c r="H444" s="129">
        <f t="shared" ca="1" si="28"/>
        <v>24.75</v>
      </c>
      <c r="I444" s="130" t="s">
        <v>1497</v>
      </c>
      <c r="J444" s="131">
        <v>4316.3999999999996</v>
      </c>
    </row>
    <row r="445" spans="1:10" ht="36" customHeight="1">
      <c r="A445" s="125" t="s">
        <v>910</v>
      </c>
      <c r="B445" s="126">
        <v>93008</v>
      </c>
      <c r="C445" s="127" t="s">
        <v>911</v>
      </c>
      <c r="D445" s="126" t="s">
        <v>12</v>
      </c>
      <c r="E445" s="126" t="s">
        <v>25</v>
      </c>
      <c r="F445" s="128">
        <v>334.9</v>
      </c>
      <c r="G445" s="129">
        <v>18.809999999999999</v>
      </c>
      <c r="H445" s="129">
        <f t="shared" ca="1" si="28"/>
        <v>23.512499999999999</v>
      </c>
      <c r="I445" s="130" t="s">
        <v>1498</v>
      </c>
      <c r="J445" s="131">
        <v>7873.5</v>
      </c>
    </row>
    <row r="446" spans="1:10" ht="31.8" customHeight="1">
      <c r="A446" s="125" t="s">
        <v>912</v>
      </c>
      <c r="B446" s="126">
        <v>93009</v>
      </c>
      <c r="C446" s="127" t="s">
        <v>913</v>
      </c>
      <c r="D446" s="126" t="s">
        <v>12</v>
      </c>
      <c r="E446" s="126" t="s">
        <v>25</v>
      </c>
      <c r="F446" s="128">
        <v>10.199999999999999</v>
      </c>
      <c r="G446" s="129">
        <v>28.03</v>
      </c>
      <c r="H446" s="129">
        <f t="shared" ca="1" si="28"/>
        <v>35.037500000000001</v>
      </c>
      <c r="I446" s="130" t="s">
        <v>1499</v>
      </c>
      <c r="J446" s="131">
        <v>357.41</v>
      </c>
    </row>
    <row r="447" spans="1:10" ht="34.799999999999997" customHeight="1">
      <c r="A447" s="125" t="s">
        <v>914</v>
      </c>
      <c r="B447" s="126">
        <v>93011</v>
      </c>
      <c r="C447" s="127" t="s">
        <v>915</v>
      </c>
      <c r="D447" s="126" t="s">
        <v>12</v>
      </c>
      <c r="E447" s="126" t="s">
        <v>25</v>
      </c>
      <c r="F447" s="128">
        <v>40</v>
      </c>
      <c r="G447" s="129">
        <v>48.05</v>
      </c>
      <c r="H447" s="129">
        <f t="shared" ca="1" si="28"/>
        <v>60.0625</v>
      </c>
      <c r="I447" s="130" t="s">
        <v>1500</v>
      </c>
      <c r="J447" s="131">
        <v>2402.4</v>
      </c>
    </row>
    <row r="448" spans="1:10" ht="30.6" customHeight="1">
      <c r="A448" s="125" t="s">
        <v>916</v>
      </c>
      <c r="B448" s="126" t="s">
        <v>917</v>
      </c>
      <c r="C448" s="127" t="s">
        <v>918</v>
      </c>
      <c r="D448" s="126" t="s">
        <v>22</v>
      </c>
      <c r="E448" s="126" t="s">
        <v>25</v>
      </c>
      <c r="F448" s="128">
        <v>29.8</v>
      </c>
      <c r="G448" s="129">
        <v>28.46</v>
      </c>
      <c r="H448" s="129">
        <f t="shared" ca="1" si="28"/>
        <v>35.575000000000003</v>
      </c>
      <c r="I448" s="130" t="s">
        <v>1501</v>
      </c>
      <c r="J448" s="131">
        <v>1060.28</v>
      </c>
    </row>
    <row r="449" spans="1:10" ht="26.4" customHeight="1">
      <c r="A449" s="125" t="s">
        <v>919</v>
      </c>
      <c r="B449" s="126">
        <v>97886</v>
      </c>
      <c r="C449" s="127" t="s">
        <v>920</v>
      </c>
      <c r="D449" s="126" t="s">
        <v>12</v>
      </c>
      <c r="E449" s="126" t="s">
        <v>18</v>
      </c>
      <c r="F449" s="128">
        <v>11</v>
      </c>
      <c r="G449" s="129">
        <v>162.43</v>
      </c>
      <c r="H449" s="129">
        <f t="shared" ca="1" si="28"/>
        <v>203.03750000000002</v>
      </c>
      <c r="I449" s="130" t="s">
        <v>1502</v>
      </c>
      <c r="J449" s="131">
        <v>2233.44</v>
      </c>
    </row>
    <row r="450" spans="1:10" ht="23.4" customHeight="1">
      <c r="A450" s="125" t="s">
        <v>921</v>
      </c>
      <c r="B450" s="126">
        <v>91937</v>
      </c>
      <c r="C450" s="127" t="s">
        <v>922</v>
      </c>
      <c r="D450" s="126" t="s">
        <v>12</v>
      </c>
      <c r="E450" s="126" t="s">
        <v>18</v>
      </c>
      <c r="F450" s="128">
        <v>100</v>
      </c>
      <c r="G450" s="129">
        <v>15.49</v>
      </c>
      <c r="H450" s="129">
        <f t="shared" ca="1" si="28"/>
        <v>19.362500000000001</v>
      </c>
      <c r="I450" s="130" t="s">
        <v>1503</v>
      </c>
      <c r="J450" s="131">
        <v>1936</v>
      </c>
    </row>
    <row r="451" spans="1:10" ht="33" customHeight="1">
      <c r="A451" s="125" t="s">
        <v>923</v>
      </c>
      <c r="B451" s="126">
        <v>91940</v>
      </c>
      <c r="C451" s="127" t="s">
        <v>924</v>
      </c>
      <c r="D451" s="126" t="s">
        <v>12</v>
      </c>
      <c r="E451" s="126" t="s">
        <v>18</v>
      </c>
      <c r="F451" s="128">
        <v>170</v>
      </c>
      <c r="G451" s="129">
        <v>17.579999999999998</v>
      </c>
      <c r="H451" s="129">
        <f t="shared" ca="1" si="28"/>
        <v>21.974999999999998</v>
      </c>
      <c r="I451" s="130" t="s">
        <v>1504</v>
      </c>
      <c r="J451" s="131">
        <v>3736.6</v>
      </c>
    </row>
    <row r="452" spans="1:10" ht="20.100000000000001" customHeight="1">
      <c r="A452" s="122" t="s">
        <v>925</v>
      </c>
      <c r="B452" s="141" t="s">
        <v>926</v>
      </c>
      <c r="C452" s="141"/>
      <c r="D452" s="141"/>
      <c r="E452" s="141"/>
      <c r="F452" s="141"/>
      <c r="G452" s="141"/>
      <c r="H452" s="122"/>
      <c r="I452" s="123">
        <v>84208.11</v>
      </c>
      <c r="J452" s="124">
        <f>SUM(J453:J461)</f>
        <v>105269.1</v>
      </c>
    </row>
    <row r="453" spans="1:10" ht="30" customHeight="1">
      <c r="A453" s="125" t="s">
        <v>927</v>
      </c>
      <c r="B453" s="126">
        <v>91926</v>
      </c>
      <c r="C453" s="127" t="s">
        <v>928</v>
      </c>
      <c r="D453" s="126" t="s">
        <v>12</v>
      </c>
      <c r="E453" s="126" t="s">
        <v>25</v>
      </c>
      <c r="F453" s="128">
        <v>5871.3</v>
      </c>
      <c r="G453" s="129">
        <v>3.83</v>
      </c>
      <c r="H453" s="129">
        <f t="shared" ca="1" si="28"/>
        <v>4.7874999999999996</v>
      </c>
      <c r="I453" s="130" t="s">
        <v>1505</v>
      </c>
      <c r="J453" s="131">
        <v>28123.53</v>
      </c>
    </row>
    <row r="454" spans="1:10" ht="30.6" customHeight="1">
      <c r="A454" s="125" t="s">
        <v>929</v>
      </c>
      <c r="B454" s="126">
        <v>91928</v>
      </c>
      <c r="C454" s="127" t="s">
        <v>930</v>
      </c>
      <c r="D454" s="126" t="s">
        <v>12</v>
      </c>
      <c r="E454" s="126" t="s">
        <v>25</v>
      </c>
      <c r="F454" s="128">
        <v>253.9</v>
      </c>
      <c r="G454" s="129">
        <v>5.89</v>
      </c>
      <c r="H454" s="129">
        <f t="shared" ca="1" si="28"/>
        <v>7.3624999999999998</v>
      </c>
      <c r="I454" s="130" t="s">
        <v>1506</v>
      </c>
      <c r="J454" s="131">
        <v>1868.7</v>
      </c>
    </row>
    <row r="455" spans="1:10" ht="30" customHeight="1">
      <c r="A455" s="125" t="s">
        <v>931</v>
      </c>
      <c r="B455" s="126">
        <v>91930</v>
      </c>
      <c r="C455" s="127" t="s">
        <v>932</v>
      </c>
      <c r="D455" s="126" t="s">
        <v>12</v>
      </c>
      <c r="E455" s="126" t="s">
        <v>25</v>
      </c>
      <c r="F455" s="128">
        <v>1472.4</v>
      </c>
      <c r="G455" s="129">
        <v>8.2100000000000009</v>
      </c>
      <c r="H455" s="129">
        <f t="shared" ca="1" si="28"/>
        <v>10.262500000000001</v>
      </c>
      <c r="I455" s="130" t="s">
        <v>1507</v>
      </c>
      <c r="J455" s="131">
        <v>15106.82</v>
      </c>
    </row>
    <row r="456" spans="1:10" ht="22.8">
      <c r="A456" s="125" t="s">
        <v>933</v>
      </c>
      <c r="B456" s="126">
        <v>91934</v>
      </c>
      <c r="C456" s="127" t="s">
        <v>934</v>
      </c>
      <c r="D456" s="126" t="s">
        <v>12</v>
      </c>
      <c r="E456" s="126" t="s">
        <v>25</v>
      </c>
      <c r="F456" s="128">
        <v>34.5</v>
      </c>
      <c r="G456" s="129">
        <v>21.13</v>
      </c>
      <c r="H456" s="129">
        <f t="shared" ca="1" si="28"/>
        <v>26.412499999999998</v>
      </c>
      <c r="I456" s="130" t="s">
        <v>1508</v>
      </c>
      <c r="J456" s="131">
        <v>911.15</v>
      </c>
    </row>
    <row r="457" spans="1:10" ht="22.8">
      <c r="A457" s="125" t="s">
        <v>935</v>
      </c>
      <c r="B457" s="126">
        <v>92984</v>
      </c>
      <c r="C457" s="127" t="s">
        <v>936</v>
      </c>
      <c r="D457" s="126" t="s">
        <v>12</v>
      </c>
      <c r="E457" s="126" t="s">
        <v>25</v>
      </c>
      <c r="F457" s="128">
        <v>58.3</v>
      </c>
      <c r="G457" s="129">
        <v>23.8</v>
      </c>
      <c r="H457" s="129">
        <f t="shared" ca="1" si="28"/>
        <v>29.75</v>
      </c>
      <c r="I457" s="130" t="s">
        <v>1509</v>
      </c>
      <c r="J457" s="131">
        <v>1734.43</v>
      </c>
    </row>
    <row r="458" spans="1:10" ht="31.2" customHeight="1">
      <c r="A458" s="125" t="s">
        <v>937</v>
      </c>
      <c r="B458" s="126">
        <v>92986</v>
      </c>
      <c r="C458" s="127" t="s">
        <v>938</v>
      </c>
      <c r="D458" s="126" t="s">
        <v>12</v>
      </c>
      <c r="E458" s="126" t="s">
        <v>25</v>
      </c>
      <c r="F458" s="128">
        <v>88.6</v>
      </c>
      <c r="G458" s="129">
        <v>32.81</v>
      </c>
      <c r="H458" s="129">
        <f t="shared" ca="1" si="28"/>
        <v>41.012500000000003</v>
      </c>
      <c r="I458" s="130" t="s">
        <v>1510</v>
      </c>
      <c r="J458" s="131">
        <v>3633.49</v>
      </c>
    </row>
    <row r="459" spans="1:10" ht="34.799999999999997" customHeight="1">
      <c r="A459" s="125" t="s">
        <v>939</v>
      </c>
      <c r="B459" s="126">
        <v>92990</v>
      </c>
      <c r="C459" s="127" t="s">
        <v>940</v>
      </c>
      <c r="D459" s="126" t="s">
        <v>12</v>
      </c>
      <c r="E459" s="126" t="s">
        <v>25</v>
      </c>
      <c r="F459" s="128">
        <v>282.8</v>
      </c>
      <c r="G459" s="129">
        <v>65.69</v>
      </c>
      <c r="H459" s="129">
        <f t="shared" ca="1" si="28"/>
        <v>82.112499999999997</v>
      </c>
      <c r="I459" s="130" t="s">
        <v>1511</v>
      </c>
      <c r="J459" s="131">
        <v>23220.71</v>
      </c>
    </row>
    <row r="460" spans="1:10" ht="30" customHeight="1">
      <c r="A460" s="125" t="s">
        <v>941</v>
      </c>
      <c r="B460" s="126">
        <v>101567</v>
      </c>
      <c r="C460" s="127" t="s">
        <v>942</v>
      </c>
      <c r="D460" s="126" t="s">
        <v>12</v>
      </c>
      <c r="E460" s="126" t="s">
        <v>25</v>
      </c>
      <c r="F460" s="128">
        <v>40</v>
      </c>
      <c r="G460" s="129">
        <v>80.760000000000005</v>
      </c>
      <c r="H460" s="129">
        <f t="shared" ca="1" si="28"/>
        <v>100.95</v>
      </c>
      <c r="I460" s="130" t="s">
        <v>1512</v>
      </c>
      <c r="J460" s="131">
        <v>4038</v>
      </c>
    </row>
    <row r="461" spans="1:10" ht="29.4" customHeight="1">
      <c r="A461" s="125" t="s">
        <v>943</v>
      </c>
      <c r="B461" s="126">
        <v>92996</v>
      </c>
      <c r="C461" s="127" t="s">
        <v>944</v>
      </c>
      <c r="D461" s="126" t="s">
        <v>12</v>
      </c>
      <c r="E461" s="126" t="s">
        <v>25</v>
      </c>
      <c r="F461" s="128">
        <v>159.80000000000001</v>
      </c>
      <c r="G461" s="129">
        <v>133.33000000000001</v>
      </c>
      <c r="H461" s="129">
        <f t="shared" ca="1" si="28"/>
        <v>166.66250000000002</v>
      </c>
      <c r="I461" s="130" t="s">
        <v>1513</v>
      </c>
      <c r="J461" s="131">
        <v>26632.27</v>
      </c>
    </row>
    <row r="462" spans="1:10" ht="20.100000000000001" customHeight="1">
      <c r="A462" s="122" t="s">
        <v>945</v>
      </c>
      <c r="B462" s="141" t="s">
        <v>946</v>
      </c>
      <c r="C462" s="141"/>
      <c r="D462" s="141"/>
      <c r="E462" s="141"/>
      <c r="F462" s="141"/>
      <c r="G462" s="141"/>
      <c r="H462" s="122"/>
      <c r="I462" s="123">
        <v>15923.6</v>
      </c>
      <c r="J462" s="124">
        <f>SUM(J463:J464)</f>
        <v>19904.690000000002</v>
      </c>
    </row>
    <row r="463" spans="1:10" ht="31.2" customHeight="1">
      <c r="A463" s="125" t="s">
        <v>947</v>
      </c>
      <c r="B463" s="126" t="s">
        <v>948</v>
      </c>
      <c r="C463" s="127" t="s">
        <v>949</v>
      </c>
      <c r="D463" s="126" t="s">
        <v>22</v>
      </c>
      <c r="E463" s="126" t="s">
        <v>25</v>
      </c>
      <c r="F463" s="128">
        <v>75.2</v>
      </c>
      <c r="G463" s="129">
        <v>190.17</v>
      </c>
      <c r="H463" s="129">
        <f t="shared" ca="1" si="28"/>
        <v>237.71249999999998</v>
      </c>
      <c r="I463" s="130" t="s">
        <v>1514</v>
      </c>
      <c r="J463" s="131">
        <v>17875.79</v>
      </c>
    </row>
    <row r="464" spans="1:10" ht="30" customHeight="1">
      <c r="A464" s="125" t="s">
        <v>950</v>
      </c>
      <c r="B464" s="126">
        <v>104764</v>
      </c>
      <c r="C464" s="127" t="s">
        <v>951</v>
      </c>
      <c r="D464" s="126" t="s">
        <v>12</v>
      </c>
      <c r="E464" s="126" t="s">
        <v>25</v>
      </c>
      <c r="F464" s="128">
        <v>75.2</v>
      </c>
      <c r="G464" s="129">
        <v>21.58</v>
      </c>
      <c r="H464" s="129">
        <f t="shared" ca="1" si="28"/>
        <v>26.974999999999998</v>
      </c>
      <c r="I464" s="130" t="s">
        <v>1515</v>
      </c>
      <c r="J464" s="131">
        <v>2028.9</v>
      </c>
    </row>
    <row r="465" spans="1:10" ht="20.100000000000001" customHeight="1">
      <c r="A465" s="122" t="s">
        <v>952</v>
      </c>
      <c r="B465" s="141" t="s">
        <v>953</v>
      </c>
      <c r="C465" s="141"/>
      <c r="D465" s="141"/>
      <c r="E465" s="141"/>
      <c r="F465" s="141"/>
      <c r="G465" s="141"/>
      <c r="H465" s="122"/>
      <c r="I465" s="123">
        <v>40235.129999999997</v>
      </c>
      <c r="J465" s="124">
        <f ca="1">SUM(J466:J479)</f>
        <v>50295.87</v>
      </c>
    </row>
    <row r="466" spans="1:10" ht="28.2" customHeight="1">
      <c r="A466" s="125" t="s">
        <v>954</v>
      </c>
      <c r="B466" s="126">
        <v>92000</v>
      </c>
      <c r="C466" s="127" t="s">
        <v>955</v>
      </c>
      <c r="D466" s="126" t="s">
        <v>12</v>
      </c>
      <c r="E466" s="126" t="s">
        <v>18</v>
      </c>
      <c r="F466" s="128">
        <v>95</v>
      </c>
      <c r="G466" s="129">
        <v>30.02</v>
      </c>
      <c r="H466" s="129">
        <f t="shared" ca="1" si="28"/>
        <v>37.524999999999999</v>
      </c>
      <c r="I466" s="130" t="s">
        <v>1516</v>
      </c>
      <c r="J466" s="131">
        <v>3565.35</v>
      </c>
    </row>
    <row r="467" spans="1:10" ht="33.6" customHeight="1">
      <c r="A467" s="125" t="s">
        <v>956</v>
      </c>
      <c r="B467" s="126">
        <v>92001</v>
      </c>
      <c r="C467" s="127" t="s">
        <v>957</v>
      </c>
      <c r="D467" s="126" t="s">
        <v>12</v>
      </c>
      <c r="E467" s="126" t="s">
        <v>18</v>
      </c>
      <c r="F467" s="128">
        <v>23</v>
      </c>
      <c r="G467" s="129">
        <v>32.090000000000003</v>
      </c>
      <c r="H467" s="129">
        <f t="shared" ca="1" si="28"/>
        <v>40.112500000000004</v>
      </c>
      <c r="I467" s="130" t="s">
        <v>1517</v>
      </c>
      <c r="J467" s="131">
        <v>922.53</v>
      </c>
    </row>
    <row r="468" spans="1:10" ht="30.6" customHeight="1">
      <c r="A468" s="125" t="s">
        <v>958</v>
      </c>
      <c r="B468" s="126">
        <v>92029</v>
      </c>
      <c r="C468" s="127" t="s">
        <v>959</v>
      </c>
      <c r="D468" s="126" t="s">
        <v>12</v>
      </c>
      <c r="E468" s="126" t="s">
        <v>18</v>
      </c>
      <c r="F468" s="128">
        <v>34</v>
      </c>
      <c r="G468" s="129">
        <v>54.95</v>
      </c>
      <c r="H468" s="129">
        <f t="shared" ca="1" si="28"/>
        <v>68.6875</v>
      </c>
      <c r="I468" s="130" t="s">
        <v>1518</v>
      </c>
      <c r="J468" s="131">
        <v>2335.46</v>
      </c>
    </row>
    <row r="469" spans="1:10" ht="28.8" customHeight="1">
      <c r="A469" s="125" t="s">
        <v>960</v>
      </c>
      <c r="B469" s="126">
        <v>91955</v>
      </c>
      <c r="C469" s="127" t="s">
        <v>961</v>
      </c>
      <c r="D469" s="126" t="s">
        <v>12</v>
      </c>
      <c r="E469" s="126" t="s">
        <v>18</v>
      </c>
      <c r="F469" s="128">
        <v>3</v>
      </c>
      <c r="G469" s="129">
        <v>34.83</v>
      </c>
      <c r="H469" s="129">
        <f t="shared" ca="1" si="28"/>
        <v>43.537499999999994</v>
      </c>
      <c r="I469" s="130" t="s">
        <v>1519</v>
      </c>
      <c r="J469" s="131">
        <v>130.62</v>
      </c>
    </row>
    <row r="470" spans="1:10" ht="33.6" customHeight="1">
      <c r="A470" s="125" t="s">
        <v>962</v>
      </c>
      <c r="B470" s="126">
        <v>92033</v>
      </c>
      <c r="C470" s="127" t="s">
        <v>963</v>
      </c>
      <c r="D470" s="126" t="s">
        <v>12</v>
      </c>
      <c r="E470" s="126" t="s">
        <v>18</v>
      </c>
      <c r="F470" s="128">
        <v>2</v>
      </c>
      <c r="G470" s="129">
        <v>76.09</v>
      </c>
      <c r="H470" s="129">
        <f t="shared" ca="1" si="28"/>
        <v>95.112500000000011</v>
      </c>
      <c r="I470" s="130" t="s">
        <v>1520</v>
      </c>
      <c r="J470" s="131">
        <v>190.22</v>
      </c>
    </row>
    <row r="471" spans="1:10" ht="30" customHeight="1">
      <c r="A471" s="125" t="s">
        <v>964</v>
      </c>
      <c r="B471" s="126">
        <v>91967</v>
      </c>
      <c r="C471" s="127" t="s">
        <v>965</v>
      </c>
      <c r="D471" s="126" t="s">
        <v>12</v>
      </c>
      <c r="E471" s="126" t="s">
        <v>18</v>
      </c>
      <c r="F471" s="128">
        <v>1</v>
      </c>
      <c r="G471" s="129">
        <v>58.59</v>
      </c>
      <c r="H471" s="129">
        <f t="shared" ca="1" si="28"/>
        <v>73.237500000000011</v>
      </c>
      <c r="I471" s="130" t="s">
        <v>1521</v>
      </c>
      <c r="J471" s="131">
        <f t="shared" ca="1" si="30"/>
        <v>73.237500000000011</v>
      </c>
    </row>
    <row r="472" spans="1:10" ht="21.6" customHeight="1">
      <c r="A472" s="125" t="s">
        <v>966</v>
      </c>
      <c r="B472" s="126" t="s">
        <v>967</v>
      </c>
      <c r="C472" s="127" t="s">
        <v>968</v>
      </c>
      <c r="D472" s="126" t="s">
        <v>22</v>
      </c>
      <c r="E472" s="126" t="s">
        <v>18</v>
      </c>
      <c r="F472" s="128">
        <v>10</v>
      </c>
      <c r="G472" s="129">
        <v>12.85</v>
      </c>
      <c r="H472" s="129">
        <f t="shared" ca="1" si="28"/>
        <v>16.0625</v>
      </c>
      <c r="I472" s="130" t="s">
        <v>1522</v>
      </c>
      <c r="J472" s="131">
        <v>160.6</v>
      </c>
    </row>
    <row r="473" spans="1:10" ht="33" customHeight="1">
      <c r="A473" s="125" t="s">
        <v>969</v>
      </c>
      <c r="B473" s="126">
        <v>97586</v>
      </c>
      <c r="C473" s="127" t="s">
        <v>970</v>
      </c>
      <c r="D473" s="126" t="s">
        <v>12</v>
      </c>
      <c r="E473" s="126" t="s">
        <v>18</v>
      </c>
      <c r="F473" s="128">
        <v>8</v>
      </c>
      <c r="G473" s="129">
        <v>157.49</v>
      </c>
      <c r="H473" s="129">
        <f t="shared" ca="1" si="28"/>
        <v>196.86250000000001</v>
      </c>
      <c r="I473" s="130" t="s">
        <v>1523</v>
      </c>
      <c r="J473" s="131">
        <v>1574.88</v>
      </c>
    </row>
    <row r="474" spans="1:10" ht="28.8" customHeight="1">
      <c r="A474" s="125" t="s">
        <v>971</v>
      </c>
      <c r="B474" s="126" t="s">
        <v>972</v>
      </c>
      <c r="C474" s="127" t="s">
        <v>973</v>
      </c>
      <c r="D474" s="126" t="s">
        <v>22</v>
      </c>
      <c r="E474" s="126" t="s">
        <v>18</v>
      </c>
      <c r="F474" s="128">
        <v>11</v>
      </c>
      <c r="G474" s="129">
        <v>287.92</v>
      </c>
      <c r="H474" s="129">
        <f t="shared" ca="1" si="28"/>
        <v>359.90000000000003</v>
      </c>
      <c r="I474" s="130" t="s">
        <v>1524</v>
      </c>
      <c r="J474" s="131">
        <v>3958.9</v>
      </c>
    </row>
    <row r="475" spans="1:10" ht="27" customHeight="1">
      <c r="A475" s="125" t="s">
        <v>974</v>
      </c>
      <c r="B475" s="126" t="s">
        <v>975</v>
      </c>
      <c r="C475" s="127" t="s">
        <v>976</v>
      </c>
      <c r="D475" s="126" t="s">
        <v>22</v>
      </c>
      <c r="E475" s="126" t="s">
        <v>18</v>
      </c>
      <c r="F475" s="128">
        <v>81</v>
      </c>
      <c r="G475" s="129">
        <v>315.39999999999998</v>
      </c>
      <c r="H475" s="129">
        <f t="shared" ca="1" si="28"/>
        <v>394.25</v>
      </c>
      <c r="I475" s="130" t="s">
        <v>1525</v>
      </c>
      <c r="J475" s="131">
        <v>31934.25</v>
      </c>
    </row>
    <row r="476" spans="1:10" ht="29.4" customHeight="1">
      <c r="A476" s="125" t="s">
        <v>977</v>
      </c>
      <c r="B476" s="126" t="s">
        <v>978</v>
      </c>
      <c r="C476" s="127" t="s">
        <v>979</v>
      </c>
      <c r="D476" s="126" t="s">
        <v>22</v>
      </c>
      <c r="E476" s="126" t="s">
        <v>18</v>
      </c>
      <c r="F476" s="128">
        <v>9</v>
      </c>
      <c r="G476" s="129">
        <v>342.83</v>
      </c>
      <c r="H476" s="129">
        <f t="shared" ca="1" si="28"/>
        <v>428.53749999999997</v>
      </c>
      <c r="I476" s="130" t="s">
        <v>1526</v>
      </c>
      <c r="J476" s="131">
        <v>3856.86</v>
      </c>
    </row>
    <row r="477" spans="1:10" ht="22.8" customHeight="1">
      <c r="A477" s="125" t="s">
        <v>980</v>
      </c>
      <c r="B477" s="126">
        <v>101641</v>
      </c>
      <c r="C477" s="127" t="s">
        <v>981</v>
      </c>
      <c r="D477" s="126" t="s">
        <v>12</v>
      </c>
      <c r="E477" s="126" t="s">
        <v>18</v>
      </c>
      <c r="F477" s="128">
        <v>4</v>
      </c>
      <c r="G477" s="129">
        <v>52.98</v>
      </c>
      <c r="H477" s="129">
        <f t="shared" ca="1" si="28"/>
        <v>66.224999999999994</v>
      </c>
      <c r="I477" s="130" t="s">
        <v>1527</v>
      </c>
      <c r="J477" s="131">
        <v>264.92</v>
      </c>
    </row>
    <row r="478" spans="1:10" ht="22.8" customHeight="1">
      <c r="A478" s="125" t="s">
        <v>982</v>
      </c>
      <c r="B478" s="126">
        <v>101640</v>
      </c>
      <c r="C478" s="127" t="s">
        <v>983</v>
      </c>
      <c r="D478" s="126" t="s">
        <v>12</v>
      </c>
      <c r="E478" s="126" t="s">
        <v>18</v>
      </c>
      <c r="F478" s="128">
        <v>1</v>
      </c>
      <c r="G478" s="129">
        <v>102.37</v>
      </c>
      <c r="H478" s="129">
        <f t="shared" ca="1" si="28"/>
        <v>127.96250000000001</v>
      </c>
      <c r="I478" s="130" t="s">
        <v>1528</v>
      </c>
      <c r="J478" s="131">
        <f t="shared" ca="1" si="30"/>
        <v>127.96250000000001</v>
      </c>
    </row>
    <row r="479" spans="1:10" ht="31.2" customHeight="1">
      <c r="A479" s="125" t="s">
        <v>984</v>
      </c>
      <c r="B479" s="126">
        <v>97608</v>
      </c>
      <c r="C479" s="127" t="s">
        <v>985</v>
      </c>
      <c r="D479" s="126" t="s">
        <v>12</v>
      </c>
      <c r="E479" s="126" t="s">
        <v>18</v>
      </c>
      <c r="F479" s="128">
        <v>8</v>
      </c>
      <c r="G479" s="129">
        <v>120.01</v>
      </c>
      <c r="H479" s="129">
        <f t="shared" ca="1" si="28"/>
        <v>150.01250000000002</v>
      </c>
      <c r="I479" s="130" t="s">
        <v>1529</v>
      </c>
      <c r="J479" s="131">
        <v>1200.08</v>
      </c>
    </row>
    <row r="480" spans="1:10" ht="20.100000000000001" customHeight="1">
      <c r="A480" s="122">
        <v>19</v>
      </c>
      <c r="B480" s="141" t="s">
        <v>986</v>
      </c>
      <c r="C480" s="141"/>
      <c r="D480" s="141"/>
      <c r="E480" s="141"/>
      <c r="F480" s="141"/>
      <c r="G480" s="141"/>
      <c r="H480" s="122"/>
      <c r="I480" s="123">
        <v>11515.95</v>
      </c>
      <c r="J480" s="124">
        <f>SUM(J481,J487)</f>
        <v>14395.68</v>
      </c>
    </row>
    <row r="481" spans="1:10" ht="20.100000000000001" customHeight="1">
      <c r="A481" s="122" t="s">
        <v>987</v>
      </c>
      <c r="B481" s="141" t="s">
        <v>988</v>
      </c>
      <c r="C481" s="141"/>
      <c r="D481" s="141"/>
      <c r="E481" s="141"/>
      <c r="F481" s="141"/>
      <c r="G481" s="141"/>
      <c r="H481" s="122"/>
      <c r="I481" s="123">
        <v>9437.7099999999991</v>
      </c>
      <c r="J481" s="124">
        <f>SUM(J482:J486)</f>
        <v>11797.77</v>
      </c>
    </row>
    <row r="482" spans="1:10" ht="25.8" customHeight="1">
      <c r="A482" s="125" t="s">
        <v>989</v>
      </c>
      <c r="B482" s="126">
        <v>91927</v>
      </c>
      <c r="C482" s="127" t="s">
        <v>990</v>
      </c>
      <c r="D482" s="126" t="s">
        <v>12</v>
      </c>
      <c r="E482" s="126" t="s">
        <v>25</v>
      </c>
      <c r="F482" s="128">
        <v>22.6</v>
      </c>
      <c r="G482" s="129">
        <v>4.28</v>
      </c>
      <c r="H482" s="129">
        <f t="shared" ref="H482:H491" ca="1" si="31">(G482*I$5)+G482</f>
        <v>5.3500000000000005</v>
      </c>
      <c r="I482" s="130" t="s">
        <v>1530</v>
      </c>
      <c r="J482" s="131">
        <v>120.91</v>
      </c>
    </row>
    <row r="483" spans="1:10" ht="31.2" customHeight="1">
      <c r="A483" s="125" t="s">
        <v>991</v>
      </c>
      <c r="B483" s="126">
        <v>91929</v>
      </c>
      <c r="C483" s="127" t="s">
        <v>992</v>
      </c>
      <c r="D483" s="126" t="s">
        <v>12</v>
      </c>
      <c r="E483" s="126" t="s">
        <v>25</v>
      </c>
      <c r="F483" s="128">
        <v>132.4</v>
      </c>
      <c r="G483" s="129">
        <v>6.28</v>
      </c>
      <c r="H483" s="129">
        <f t="shared" ca="1" si="31"/>
        <v>7.8500000000000005</v>
      </c>
      <c r="I483" s="130" t="s">
        <v>1531</v>
      </c>
      <c r="J483" s="131">
        <v>1039.3399999999999</v>
      </c>
    </row>
    <row r="484" spans="1:10" ht="34.200000000000003">
      <c r="A484" s="125" t="s">
        <v>993</v>
      </c>
      <c r="B484" s="126">
        <v>97327</v>
      </c>
      <c r="C484" s="127" t="s">
        <v>994</v>
      </c>
      <c r="D484" s="126" t="s">
        <v>12</v>
      </c>
      <c r="E484" s="126" t="s">
        <v>25</v>
      </c>
      <c r="F484" s="128">
        <v>16.899999999999999</v>
      </c>
      <c r="G484" s="129">
        <v>25.65</v>
      </c>
      <c r="H484" s="129">
        <f t="shared" ca="1" si="31"/>
        <v>32.0625</v>
      </c>
      <c r="I484" s="130" t="s">
        <v>1532</v>
      </c>
      <c r="J484" s="131">
        <v>541.80999999999995</v>
      </c>
    </row>
    <row r="485" spans="1:10" ht="34.200000000000003">
      <c r="A485" s="125" t="s">
        <v>995</v>
      </c>
      <c r="B485" s="126">
        <v>97328</v>
      </c>
      <c r="C485" s="127" t="s">
        <v>996</v>
      </c>
      <c r="D485" s="126" t="s">
        <v>12</v>
      </c>
      <c r="E485" s="126" t="s">
        <v>25</v>
      </c>
      <c r="F485" s="128">
        <v>154.9</v>
      </c>
      <c r="G485" s="129">
        <v>42.64</v>
      </c>
      <c r="H485" s="129">
        <f t="shared" ca="1" si="31"/>
        <v>53.3</v>
      </c>
      <c r="I485" s="130" t="s">
        <v>1533</v>
      </c>
      <c r="J485" s="131">
        <v>8256.17</v>
      </c>
    </row>
    <row r="486" spans="1:10" ht="30" customHeight="1">
      <c r="A486" s="125" t="s">
        <v>997</v>
      </c>
      <c r="B486" s="126">
        <v>103992</v>
      </c>
      <c r="C486" s="127" t="s">
        <v>998</v>
      </c>
      <c r="D486" s="126" t="s">
        <v>12</v>
      </c>
      <c r="E486" s="126" t="s">
        <v>18</v>
      </c>
      <c r="F486" s="128">
        <v>138</v>
      </c>
      <c r="G486" s="129">
        <v>10.66</v>
      </c>
      <c r="H486" s="129">
        <f t="shared" ca="1" si="31"/>
        <v>13.324999999999999</v>
      </c>
      <c r="I486" s="130" t="s">
        <v>1534</v>
      </c>
      <c r="J486" s="131">
        <v>1839.54</v>
      </c>
    </row>
    <row r="487" spans="1:10" ht="20.100000000000001" customHeight="1">
      <c r="A487" s="122" t="s">
        <v>999</v>
      </c>
      <c r="B487" s="141" t="s">
        <v>1000</v>
      </c>
      <c r="C487" s="141"/>
      <c r="D487" s="141"/>
      <c r="E487" s="141"/>
      <c r="F487" s="141"/>
      <c r="G487" s="141"/>
      <c r="H487" s="122"/>
      <c r="I487" s="123">
        <v>2078.2399999999998</v>
      </c>
      <c r="J487" s="124">
        <f>SUM(J488:J491)</f>
        <v>2597.91</v>
      </c>
    </row>
    <row r="488" spans="1:10" ht="28.8" customHeight="1">
      <c r="A488" s="125" t="s">
        <v>1001</v>
      </c>
      <c r="B488" s="126">
        <v>103978</v>
      </c>
      <c r="C488" s="127" t="s">
        <v>1002</v>
      </c>
      <c r="D488" s="126" t="s">
        <v>12</v>
      </c>
      <c r="E488" s="126" t="s">
        <v>25</v>
      </c>
      <c r="F488" s="128">
        <v>63.9</v>
      </c>
      <c r="G488" s="129">
        <v>24.72</v>
      </c>
      <c r="H488" s="129">
        <f t="shared" ca="1" si="31"/>
        <v>30.9</v>
      </c>
      <c r="I488" s="130" t="s">
        <v>1535</v>
      </c>
      <c r="J488" s="131">
        <v>1974.51</v>
      </c>
    </row>
    <row r="489" spans="1:10" ht="30" customHeight="1">
      <c r="A489" s="125" t="s">
        <v>1003</v>
      </c>
      <c r="B489" s="126">
        <v>103981</v>
      </c>
      <c r="C489" s="127" t="s">
        <v>1004</v>
      </c>
      <c r="D489" s="126" t="s">
        <v>12</v>
      </c>
      <c r="E489" s="126" t="s">
        <v>18</v>
      </c>
      <c r="F489" s="128">
        <v>12</v>
      </c>
      <c r="G489" s="129">
        <v>16.5</v>
      </c>
      <c r="H489" s="129">
        <f t="shared" ca="1" si="31"/>
        <v>20.625</v>
      </c>
      <c r="I489" s="130" t="s">
        <v>1536</v>
      </c>
      <c r="J489" s="131">
        <v>247.56</v>
      </c>
    </row>
    <row r="490" spans="1:10" ht="31.8" customHeight="1">
      <c r="A490" s="125" t="s">
        <v>1005</v>
      </c>
      <c r="B490" s="126">
        <v>103980</v>
      </c>
      <c r="C490" s="127" t="s">
        <v>1006</v>
      </c>
      <c r="D490" s="126" t="s">
        <v>12</v>
      </c>
      <c r="E490" s="126" t="s">
        <v>18</v>
      </c>
      <c r="F490" s="128">
        <v>14</v>
      </c>
      <c r="G490" s="129">
        <v>16.440000000000001</v>
      </c>
      <c r="H490" s="129">
        <f t="shared" ca="1" si="31"/>
        <v>20.55</v>
      </c>
      <c r="I490" s="130" t="s">
        <v>1537</v>
      </c>
      <c r="J490" s="131">
        <v>287.7</v>
      </c>
    </row>
    <row r="491" spans="1:10" ht="30.6" customHeight="1">
      <c r="A491" s="125" t="s">
        <v>1007</v>
      </c>
      <c r="B491" s="126">
        <v>104011</v>
      </c>
      <c r="C491" s="127" t="s">
        <v>1008</v>
      </c>
      <c r="D491" s="126" t="s">
        <v>12</v>
      </c>
      <c r="E491" s="126" t="s">
        <v>18</v>
      </c>
      <c r="F491" s="128">
        <v>3</v>
      </c>
      <c r="G491" s="129">
        <v>23.5</v>
      </c>
      <c r="H491" s="129">
        <f t="shared" ca="1" si="31"/>
        <v>29.375</v>
      </c>
      <c r="I491" s="130" t="s">
        <v>1538</v>
      </c>
      <c r="J491" s="131">
        <v>88.14</v>
      </c>
    </row>
    <row r="492" spans="1:10" ht="20.100000000000001" customHeight="1">
      <c r="A492" s="122">
        <v>20</v>
      </c>
      <c r="B492" s="141" t="s">
        <v>1009</v>
      </c>
      <c r="C492" s="141"/>
      <c r="D492" s="141"/>
      <c r="E492" s="141"/>
      <c r="F492" s="141"/>
      <c r="G492" s="141"/>
      <c r="H492" s="122"/>
      <c r="I492" s="123">
        <v>30283.9</v>
      </c>
      <c r="J492" s="124">
        <f ca="1">SUM(J493,J501,J504,J508,J515,)</f>
        <v>37857.912499999999</v>
      </c>
    </row>
    <row r="493" spans="1:10" ht="20.100000000000001" customHeight="1">
      <c r="A493" s="122" t="s">
        <v>1010</v>
      </c>
      <c r="B493" s="141" t="s">
        <v>1011</v>
      </c>
      <c r="C493" s="141"/>
      <c r="D493" s="141"/>
      <c r="E493" s="141"/>
      <c r="F493" s="141"/>
      <c r="G493" s="141"/>
      <c r="H493" s="122"/>
      <c r="I493" s="123">
        <v>11429.76</v>
      </c>
      <c r="J493" s="124">
        <f ca="1">SUM(J494:J500)</f>
        <v>14287.542499999998</v>
      </c>
    </row>
    <row r="494" spans="1:10">
      <c r="A494" s="125" t="s">
        <v>1012</v>
      </c>
      <c r="B494" s="126">
        <v>98302</v>
      </c>
      <c r="C494" s="127" t="s">
        <v>1013</v>
      </c>
      <c r="D494" s="126" t="s">
        <v>12</v>
      </c>
      <c r="E494" s="126" t="s">
        <v>18</v>
      </c>
      <c r="F494" s="128">
        <v>3</v>
      </c>
      <c r="G494" s="129">
        <v>1089.04</v>
      </c>
      <c r="H494" s="129">
        <f t="shared" ref="H494:H549" ca="1" si="32">(G494*I$5)+G494</f>
        <v>1361.3</v>
      </c>
      <c r="I494" s="130" t="s">
        <v>1539</v>
      </c>
      <c r="J494" s="131">
        <v>4083.9</v>
      </c>
    </row>
    <row r="495" spans="1:10">
      <c r="A495" s="125" t="s">
        <v>1014</v>
      </c>
      <c r="B495" s="126" t="s">
        <v>1015</v>
      </c>
      <c r="C495" s="127" t="s">
        <v>1016</v>
      </c>
      <c r="D495" s="126" t="s">
        <v>22</v>
      </c>
      <c r="E495" s="126" t="s">
        <v>18</v>
      </c>
      <c r="F495" s="128">
        <v>1</v>
      </c>
      <c r="G495" s="129">
        <v>2991.65</v>
      </c>
      <c r="H495" s="129">
        <f t="shared" ca="1" si="32"/>
        <v>3739.5625</v>
      </c>
      <c r="I495" s="130" t="s">
        <v>1540</v>
      </c>
      <c r="J495" s="131">
        <f t="shared" ref="J495:J538" ca="1" si="33">H495*F495</f>
        <v>3739.5625</v>
      </c>
    </row>
    <row r="496" spans="1:10">
      <c r="A496" s="125" t="s">
        <v>1017</v>
      </c>
      <c r="B496" s="126" t="s">
        <v>1018</v>
      </c>
      <c r="C496" s="127" t="s">
        <v>1019</v>
      </c>
      <c r="D496" s="126" t="s">
        <v>22</v>
      </c>
      <c r="E496" s="126" t="s">
        <v>18</v>
      </c>
      <c r="F496" s="128">
        <v>19</v>
      </c>
      <c r="G496" s="129">
        <v>50.96</v>
      </c>
      <c r="H496" s="129">
        <f t="shared" ca="1" si="32"/>
        <v>63.7</v>
      </c>
      <c r="I496" s="130" t="s">
        <v>1541</v>
      </c>
      <c r="J496" s="131">
        <v>1210.3</v>
      </c>
    </row>
    <row r="497" spans="1:10">
      <c r="A497" s="125" t="s">
        <v>1020</v>
      </c>
      <c r="B497" s="126" t="s">
        <v>1021</v>
      </c>
      <c r="C497" s="127" t="s">
        <v>1022</v>
      </c>
      <c r="D497" s="126" t="s">
        <v>22</v>
      </c>
      <c r="E497" s="126" t="s">
        <v>831</v>
      </c>
      <c r="F497" s="128">
        <v>3</v>
      </c>
      <c r="G497" s="129">
        <v>25.46</v>
      </c>
      <c r="H497" s="129">
        <f t="shared" ca="1" si="32"/>
        <v>31.825000000000003</v>
      </c>
      <c r="I497" s="130" t="s">
        <v>1542</v>
      </c>
      <c r="J497" s="131">
        <v>95.49</v>
      </c>
    </row>
    <row r="498" spans="1:10">
      <c r="A498" s="125" t="s">
        <v>1023</v>
      </c>
      <c r="B498" s="126" t="s">
        <v>1024</v>
      </c>
      <c r="C498" s="127" t="s">
        <v>1025</v>
      </c>
      <c r="D498" s="126" t="s">
        <v>22</v>
      </c>
      <c r="E498" s="126" t="s">
        <v>18</v>
      </c>
      <c r="F498" s="128">
        <v>2</v>
      </c>
      <c r="G498" s="129">
        <v>178.8</v>
      </c>
      <c r="H498" s="129">
        <f t="shared" ca="1" si="32"/>
        <v>223.5</v>
      </c>
      <c r="I498" s="130" t="s">
        <v>1543</v>
      </c>
      <c r="J498" s="131">
        <v>447</v>
      </c>
    </row>
    <row r="499" spans="1:10">
      <c r="A499" s="125" t="s">
        <v>1026</v>
      </c>
      <c r="B499" s="126">
        <v>100555</v>
      </c>
      <c r="C499" s="127" t="s">
        <v>1027</v>
      </c>
      <c r="D499" s="126" t="s">
        <v>12</v>
      </c>
      <c r="E499" s="126" t="s">
        <v>18</v>
      </c>
      <c r="F499" s="128">
        <v>3</v>
      </c>
      <c r="G499" s="129">
        <v>1215.03</v>
      </c>
      <c r="H499" s="129">
        <f t="shared" ca="1" si="32"/>
        <v>1518.7874999999999</v>
      </c>
      <c r="I499" s="130" t="s">
        <v>1544</v>
      </c>
      <c r="J499" s="131">
        <v>4556.37</v>
      </c>
    </row>
    <row r="500" spans="1:10">
      <c r="A500" s="125" t="s">
        <v>1028</v>
      </c>
      <c r="B500" s="126" t="s">
        <v>1029</v>
      </c>
      <c r="C500" s="127" t="s">
        <v>1030</v>
      </c>
      <c r="D500" s="126" t="s">
        <v>22</v>
      </c>
      <c r="E500" s="126" t="s">
        <v>18</v>
      </c>
      <c r="F500" s="128">
        <v>4</v>
      </c>
      <c r="G500" s="129">
        <v>30.98</v>
      </c>
      <c r="H500" s="129">
        <f t="shared" ca="1" si="32"/>
        <v>38.725000000000001</v>
      </c>
      <c r="I500" s="130" t="s">
        <v>1545</v>
      </c>
      <c r="J500" s="131">
        <v>154.91999999999999</v>
      </c>
    </row>
    <row r="501" spans="1:10" ht="20.100000000000001" customHeight="1">
      <c r="A501" s="122" t="s">
        <v>1031</v>
      </c>
      <c r="B501" s="141" t="s">
        <v>1032</v>
      </c>
      <c r="C501" s="141"/>
      <c r="D501" s="141"/>
      <c r="E501" s="141"/>
      <c r="F501" s="141"/>
      <c r="G501" s="141"/>
      <c r="H501" s="122"/>
      <c r="I501" s="123">
        <v>1124.03</v>
      </c>
      <c r="J501" s="124">
        <f>SUM(J502:J503)</f>
        <v>1405.62</v>
      </c>
    </row>
    <row r="502" spans="1:10" ht="29.4" customHeight="1">
      <c r="A502" s="125" t="s">
        <v>1033</v>
      </c>
      <c r="B502" s="126">
        <v>97886</v>
      </c>
      <c r="C502" s="127" t="s">
        <v>920</v>
      </c>
      <c r="D502" s="126" t="s">
        <v>12</v>
      </c>
      <c r="E502" s="126" t="s">
        <v>18</v>
      </c>
      <c r="F502" s="128">
        <v>4</v>
      </c>
      <c r="G502" s="129">
        <v>162.43</v>
      </c>
      <c r="H502" s="129">
        <f t="shared" ca="1" si="32"/>
        <v>203.03750000000002</v>
      </c>
      <c r="I502" s="130" t="s">
        <v>1546</v>
      </c>
      <c r="J502" s="131">
        <v>812.16</v>
      </c>
    </row>
    <row r="503" spans="1:10" ht="30.6" customHeight="1">
      <c r="A503" s="125" t="s">
        <v>1034</v>
      </c>
      <c r="B503" s="126">
        <v>91940</v>
      </c>
      <c r="C503" s="127" t="s">
        <v>924</v>
      </c>
      <c r="D503" s="126" t="s">
        <v>12</v>
      </c>
      <c r="E503" s="126" t="s">
        <v>18</v>
      </c>
      <c r="F503" s="128">
        <v>27</v>
      </c>
      <c r="G503" s="129">
        <v>17.579999999999998</v>
      </c>
      <c r="H503" s="129">
        <f t="shared" ca="1" si="32"/>
        <v>21.974999999999998</v>
      </c>
      <c r="I503" s="130" t="s">
        <v>1547</v>
      </c>
      <c r="J503" s="131">
        <v>593.46</v>
      </c>
    </row>
    <row r="504" spans="1:10" ht="20.100000000000001" customHeight="1">
      <c r="A504" s="122" t="s">
        <v>1035</v>
      </c>
      <c r="B504" s="141" t="s">
        <v>1036</v>
      </c>
      <c r="C504" s="141"/>
      <c r="D504" s="141"/>
      <c r="E504" s="141"/>
      <c r="F504" s="141"/>
      <c r="G504" s="141"/>
      <c r="H504" s="122"/>
      <c r="I504" s="123">
        <v>1222.5899999999999</v>
      </c>
      <c r="J504" s="124">
        <f>SUM(J505:J507)</f>
        <v>1528.28</v>
      </c>
    </row>
    <row r="505" spans="1:10">
      <c r="A505" s="125" t="s">
        <v>1037</v>
      </c>
      <c r="B505" s="126">
        <v>98307</v>
      </c>
      <c r="C505" s="127" t="s">
        <v>1038</v>
      </c>
      <c r="D505" s="126" t="s">
        <v>12</v>
      </c>
      <c r="E505" s="126" t="s">
        <v>18</v>
      </c>
      <c r="F505" s="128">
        <v>19</v>
      </c>
      <c r="G505" s="129">
        <v>44.05</v>
      </c>
      <c r="H505" s="129">
        <f t="shared" ca="1" si="32"/>
        <v>55.0625</v>
      </c>
      <c r="I505" s="130" t="s">
        <v>1548</v>
      </c>
      <c r="J505" s="131">
        <v>1046.1400000000001</v>
      </c>
    </row>
    <row r="506" spans="1:10">
      <c r="A506" s="125" t="s">
        <v>1039</v>
      </c>
      <c r="B506" s="126" t="s">
        <v>1040</v>
      </c>
      <c r="C506" s="127" t="s">
        <v>1041</v>
      </c>
      <c r="D506" s="126" t="s">
        <v>22</v>
      </c>
      <c r="E506" s="126" t="s">
        <v>18</v>
      </c>
      <c r="F506" s="128">
        <v>8</v>
      </c>
      <c r="G506" s="129">
        <v>24.98</v>
      </c>
      <c r="H506" s="129">
        <f t="shared" ca="1" si="32"/>
        <v>31.225000000000001</v>
      </c>
      <c r="I506" s="130" t="s">
        <v>1549</v>
      </c>
      <c r="J506" s="131">
        <v>249.84</v>
      </c>
    </row>
    <row r="507" spans="1:10">
      <c r="A507" s="125" t="s">
        <v>1042</v>
      </c>
      <c r="B507" s="126" t="s">
        <v>1043</v>
      </c>
      <c r="C507" s="127" t="s">
        <v>1044</v>
      </c>
      <c r="D507" s="126" t="s">
        <v>22</v>
      </c>
      <c r="E507" s="126" t="s">
        <v>18</v>
      </c>
      <c r="F507" s="128">
        <v>10</v>
      </c>
      <c r="G507" s="129">
        <v>18.579999999999998</v>
      </c>
      <c r="H507" s="129">
        <f t="shared" ca="1" si="32"/>
        <v>23.224999999999998</v>
      </c>
      <c r="I507" s="130" t="s">
        <v>1550</v>
      </c>
      <c r="J507" s="131">
        <v>232.3</v>
      </c>
    </row>
    <row r="508" spans="1:10" ht="20.100000000000001" customHeight="1">
      <c r="A508" s="122" t="s">
        <v>1045</v>
      </c>
      <c r="B508" s="141" t="s">
        <v>1046</v>
      </c>
      <c r="C508" s="141"/>
      <c r="D508" s="141"/>
      <c r="E508" s="141"/>
      <c r="F508" s="141"/>
      <c r="G508" s="141"/>
      <c r="H508" s="122"/>
      <c r="I508" s="123">
        <v>11836.56</v>
      </c>
      <c r="J508" s="124">
        <f>SUM(J509:J514)</f>
        <v>14796.04</v>
      </c>
    </row>
    <row r="509" spans="1:10" ht="28.2" customHeight="1">
      <c r="A509" s="125" t="s">
        <v>1047</v>
      </c>
      <c r="B509" s="126" t="s">
        <v>1048</v>
      </c>
      <c r="C509" s="127" t="s">
        <v>1049</v>
      </c>
      <c r="D509" s="126" t="s">
        <v>22</v>
      </c>
      <c r="E509" s="126" t="s">
        <v>25</v>
      </c>
      <c r="F509" s="128">
        <v>51.65</v>
      </c>
      <c r="G509" s="129">
        <v>144.9</v>
      </c>
      <c r="H509" s="129">
        <f t="shared" ca="1" si="32"/>
        <v>181.125</v>
      </c>
      <c r="I509" s="130" t="s">
        <v>1551</v>
      </c>
      <c r="J509" s="131">
        <v>9355.36</v>
      </c>
    </row>
    <row r="510" spans="1:10" ht="30" customHeight="1">
      <c r="A510" s="125" t="s">
        <v>1050</v>
      </c>
      <c r="B510" s="126">
        <v>91837</v>
      </c>
      <c r="C510" s="127" t="s">
        <v>1051</v>
      </c>
      <c r="D510" s="126" t="s">
        <v>12</v>
      </c>
      <c r="E510" s="126" t="s">
        <v>25</v>
      </c>
      <c r="F510" s="128">
        <v>15.2</v>
      </c>
      <c r="G510" s="129">
        <v>23.51</v>
      </c>
      <c r="H510" s="129">
        <f t="shared" ca="1" si="32"/>
        <v>29.387500000000003</v>
      </c>
      <c r="I510" s="130" t="s">
        <v>1552</v>
      </c>
      <c r="J510" s="131">
        <v>446.73</v>
      </c>
    </row>
    <row r="511" spans="1:10" ht="29.4" customHeight="1">
      <c r="A511" s="125" t="s">
        <v>1052</v>
      </c>
      <c r="B511" s="126">
        <v>91835</v>
      </c>
      <c r="C511" s="127" t="s">
        <v>1053</v>
      </c>
      <c r="D511" s="126" t="s">
        <v>12</v>
      </c>
      <c r="E511" s="126" t="s">
        <v>25</v>
      </c>
      <c r="F511" s="128">
        <v>112.05</v>
      </c>
      <c r="G511" s="129">
        <v>18.52</v>
      </c>
      <c r="H511" s="129">
        <f t="shared" ca="1" si="32"/>
        <v>23.15</v>
      </c>
      <c r="I511" s="130" t="s">
        <v>1553</v>
      </c>
      <c r="J511" s="131">
        <v>2593.96</v>
      </c>
    </row>
    <row r="512" spans="1:10" ht="35.4" customHeight="1">
      <c r="A512" s="125" t="s">
        <v>1054</v>
      </c>
      <c r="B512" s="126">
        <v>91865</v>
      </c>
      <c r="C512" s="127" t="s">
        <v>1055</v>
      </c>
      <c r="D512" s="126" t="s">
        <v>12</v>
      </c>
      <c r="E512" s="126" t="s">
        <v>25</v>
      </c>
      <c r="F512" s="128">
        <v>4.8</v>
      </c>
      <c r="G512" s="129">
        <v>19.2</v>
      </c>
      <c r="H512" s="129">
        <f t="shared" ca="1" si="32"/>
        <v>24</v>
      </c>
      <c r="I512" s="130" t="s">
        <v>1554</v>
      </c>
      <c r="J512" s="131">
        <v>115.2</v>
      </c>
    </row>
    <row r="513" spans="1:10" ht="21" customHeight="1">
      <c r="A513" s="125" t="s">
        <v>1056</v>
      </c>
      <c r="B513" s="126" t="s">
        <v>1057</v>
      </c>
      <c r="C513" s="127" t="s">
        <v>1058</v>
      </c>
      <c r="D513" s="126" t="s">
        <v>22</v>
      </c>
      <c r="E513" s="126" t="s">
        <v>5</v>
      </c>
      <c r="F513" s="128">
        <v>4</v>
      </c>
      <c r="G513" s="129">
        <v>15.8</v>
      </c>
      <c r="H513" s="129">
        <f t="shared" ca="1" si="32"/>
        <v>19.75</v>
      </c>
      <c r="I513" s="130" t="s">
        <v>1555</v>
      </c>
      <c r="J513" s="131">
        <v>79</v>
      </c>
    </row>
    <row r="514" spans="1:10" ht="29.4" customHeight="1">
      <c r="A514" s="125" t="s">
        <v>1059</v>
      </c>
      <c r="B514" s="126" t="s">
        <v>1060</v>
      </c>
      <c r="C514" s="127" t="s">
        <v>1061</v>
      </c>
      <c r="D514" s="126" t="s">
        <v>22</v>
      </c>
      <c r="E514" s="126" t="s">
        <v>25</v>
      </c>
      <c r="F514" s="128">
        <v>55.2</v>
      </c>
      <c r="G514" s="129">
        <v>31.97</v>
      </c>
      <c r="H514" s="129">
        <f t="shared" ca="1" si="32"/>
        <v>39.962499999999999</v>
      </c>
      <c r="I514" s="130" t="s">
        <v>1556</v>
      </c>
      <c r="J514" s="131">
        <v>2205.79</v>
      </c>
    </row>
    <row r="515" spans="1:10" ht="20.100000000000001" customHeight="1">
      <c r="A515" s="122" t="s">
        <v>1062</v>
      </c>
      <c r="B515" s="141" t="s">
        <v>1063</v>
      </c>
      <c r="C515" s="141"/>
      <c r="D515" s="141"/>
      <c r="E515" s="141"/>
      <c r="F515" s="141"/>
      <c r="G515" s="141"/>
      <c r="H515" s="122"/>
      <c r="I515" s="123">
        <v>4670.96</v>
      </c>
      <c r="J515" s="124">
        <f>SUM(J516:J517)</f>
        <v>5840.4299999999994</v>
      </c>
    </row>
    <row r="516" spans="1:10" ht="31.2" customHeight="1">
      <c r="A516" s="125" t="s">
        <v>1064</v>
      </c>
      <c r="B516" s="126">
        <v>98297</v>
      </c>
      <c r="C516" s="127" t="s">
        <v>1065</v>
      </c>
      <c r="D516" s="126" t="s">
        <v>12</v>
      </c>
      <c r="E516" s="126" t="s">
        <v>25</v>
      </c>
      <c r="F516" s="128">
        <v>579</v>
      </c>
      <c r="G516" s="129">
        <v>7.07</v>
      </c>
      <c r="H516" s="129">
        <f t="shared" ca="1" si="32"/>
        <v>8.8375000000000004</v>
      </c>
      <c r="I516" s="130" t="s">
        <v>1557</v>
      </c>
      <c r="J516" s="131">
        <v>5118.3599999999997</v>
      </c>
    </row>
    <row r="517" spans="1:10">
      <c r="A517" s="125" t="s">
        <v>1066</v>
      </c>
      <c r="B517" s="126">
        <v>100554</v>
      </c>
      <c r="C517" s="127" t="s">
        <v>1067</v>
      </c>
      <c r="D517" s="126" t="s">
        <v>12</v>
      </c>
      <c r="E517" s="126" t="s">
        <v>25</v>
      </c>
      <c r="F517" s="128">
        <v>113</v>
      </c>
      <c r="G517" s="129">
        <v>5.1100000000000003</v>
      </c>
      <c r="H517" s="129">
        <f t="shared" ca="1" si="32"/>
        <v>6.3875000000000002</v>
      </c>
      <c r="I517" s="130" t="s">
        <v>1558</v>
      </c>
      <c r="J517" s="131">
        <v>722.07</v>
      </c>
    </row>
    <row r="518" spans="1:10" ht="20.100000000000001" customHeight="1">
      <c r="A518" s="122">
        <v>21</v>
      </c>
      <c r="B518" s="141" t="s">
        <v>1068</v>
      </c>
      <c r="C518" s="141"/>
      <c r="D518" s="141"/>
      <c r="E518" s="141"/>
      <c r="F518" s="141"/>
      <c r="G518" s="141"/>
      <c r="H518" s="122"/>
      <c r="I518" s="123">
        <v>9482.69</v>
      </c>
      <c r="J518" s="124">
        <f>SUM(J519:J520)</f>
        <v>11853.369999999999</v>
      </c>
    </row>
    <row r="519" spans="1:10">
      <c r="A519" s="125" t="s">
        <v>1069</v>
      </c>
      <c r="B519" s="126" t="s">
        <v>1070</v>
      </c>
      <c r="C519" s="127" t="s">
        <v>1071</v>
      </c>
      <c r="D519" s="126" t="s">
        <v>22</v>
      </c>
      <c r="E519" s="126" t="s">
        <v>25</v>
      </c>
      <c r="F519" s="128">
        <v>4</v>
      </c>
      <c r="G519" s="129">
        <v>113.39</v>
      </c>
      <c r="H519" s="129">
        <f t="shared" ca="1" si="32"/>
        <v>141.73750000000001</v>
      </c>
      <c r="I519" s="130" t="s">
        <v>1559</v>
      </c>
      <c r="J519" s="131">
        <v>566.96</v>
      </c>
    </row>
    <row r="520" spans="1:10">
      <c r="A520" s="125" t="s">
        <v>1072</v>
      </c>
      <c r="B520" s="126" t="s">
        <v>1073</v>
      </c>
      <c r="C520" s="127" t="s">
        <v>1074</v>
      </c>
      <c r="D520" s="126" t="s">
        <v>22</v>
      </c>
      <c r="E520" s="126" t="s">
        <v>831</v>
      </c>
      <c r="F520" s="128">
        <v>1</v>
      </c>
      <c r="G520" s="129">
        <v>9029.1299999999992</v>
      </c>
      <c r="H520" s="129">
        <f t="shared" ca="1" si="32"/>
        <v>11286.412499999999</v>
      </c>
      <c r="I520" s="130" t="s">
        <v>1560</v>
      </c>
      <c r="J520" s="131">
        <v>11286.41</v>
      </c>
    </row>
    <row r="521" spans="1:10" ht="20.100000000000001" customHeight="1">
      <c r="A521" s="122">
        <v>22</v>
      </c>
      <c r="B521" s="141" t="s">
        <v>1075</v>
      </c>
      <c r="C521" s="141"/>
      <c r="D521" s="141"/>
      <c r="E521" s="141"/>
      <c r="F521" s="141"/>
      <c r="G521" s="141"/>
      <c r="H521" s="122"/>
      <c r="I521" s="123">
        <v>39709.550000000003</v>
      </c>
      <c r="J521" s="124">
        <f ca="1">SUM(J522:J536)</f>
        <v>49644.88</v>
      </c>
    </row>
    <row r="522" spans="1:10">
      <c r="A522" s="125" t="s">
        <v>1076</v>
      </c>
      <c r="B522" s="126">
        <v>96989</v>
      </c>
      <c r="C522" s="127" t="s">
        <v>1077</v>
      </c>
      <c r="D522" s="126" t="s">
        <v>12</v>
      </c>
      <c r="E522" s="126" t="s">
        <v>18</v>
      </c>
      <c r="F522" s="128">
        <v>1</v>
      </c>
      <c r="G522" s="129">
        <v>150.24</v>
      </c>
      <c r="H522" s="129">
        <f t="shared" ca="1" si="32"/>
        <v>187.8</v>
      </c>
      <c r="I522" s="130" t="s">
        <v>1561</v>
      </c>
      <c r="J522" s="131">
        <f t="shared" ca="1" si="33"/>
        <v>187.8</v>
      </c>
    </row>
    <row r="523" spans="1:10" ht="19.8" customHeight="1">
      <c r="A523" s="125" t="s">
        <v>1078</v>
      </c>
      <c r="B523" s="126">
        <v>92884</v>
      </c>
      <c r="C523" s="127" t="s">
        <v>1079</v>
      </c>
      <c r="D523" s="126" t="s">
        <v>12</v>
      </c>
      <c r="E523" s="126" t="s">
        <v>72</v>
      </c>
      <c r="F523" s="128">
        <v>45</v>
      </c>
      <c r="G523" s="129">
        <v>11.16</v>
      </c>
      <c r="H523" s="129">
        <f t="shared" ca="1" si="32"/>
        <v>13.95</v>
      </c>
      <c r="I523" s="130" t="s">
        <v>1562</v>
      </c>
      <c r="J523" s="131">
        <v>627.75</v>
      </c>
    </row>
    <row r="524" spans="1:10" ht="30" customHeight="1">
      <c r="A524" s="125" t="s">
        <v>1080</v>
      </c>
      <c r="B524" s="126">
        <v>104753</v>
      </c>
      <c r="C524" s="127" t="s">
        <v>1081</v>
      </c>
      <c r="D524" s="126" t="s">
        <v>12</v>
      </c>
      <c r="E524" s="126" t="s">
        <v>18</v>
      </c>
      <c r="F524" s="128">
        <v>11</v>
      </c>
      <c r="G524" s="129">
        <v>31.67</v>
      </c>
      <c r="H524" s="129">
        <f t="shared" ca="1" si="32"/>
        <v>39.587500000000006</v>
      </c>
      <c r="I524" s="130" t="s">
        <v>1563</v>
      </c>
      <c r="J524" s="131">
        <v>435.49</v>
      </c>
    </row>
    <row r="525" spans="1:10" ht="28.8" customHeight="1">
      <c r="A525" s="125" t="s">
        <v>1082</v>
      </c>
      <c r="B525" s="126">
        <v>101663</v>
      </c>
      <c r="C525" s="127" t="s">
        <v>1083</v>
      </c>
      <c r="D525" s="126" t="s">
        <v>12</v>
      </c>
      <c r="E525" s="126" t="s">
        <v>18</v>
      </c>
      <c r="F525" s="128">
        <v>4</v>
      </c>
      <c r="G525" s="129">
        <v>28.91</v>
      </c>
      <c r="H525" s="129">
        <f t="shared" ca="1" si="32"/>
        <v>36.137500000000003</v>
      </c>
      <c r="I525" s="130" t="s">
        <v>1564</v>
      </c>
      <c r="J525" s="131">
        <v>144.56</v>
      </c>
    </row>
    <row r="526" spans="1:10" ht="18.600000000000001" customHeight="1">
      <c r="A526" s="125" t="s">
        <v>1084</v>
      </c>
      <c r="B526" s="126" t="s">
        <v>1085</v>
      </c>
      <c r="C526" s="127" t="s">
        <v>1086</v>
      </c>
      <c r="D526" s="126" t="s">
        <v>22</v>
      </c>
      <c r="E526" s="126" t="s">
        <v>18</v>
      </c>
      <c r="F526" s="128">
        <v>1</v>
      </c>
      <c r="G526" s="129">
        <v>403.35</v>
      </c>
      <c r="H526" s="129">
        <f t="shared" ca="1" si="32"/>
        <v>504.1875</v>
      </c>
      <c r="I526" s="130" t="s">
        <v>1565</v>
      </c>
      <c r="J526" s="131">
        <f t="shared" ca="1" si="33"/>
        <v>504.1875</v>
      </c>
    </row>
    <row r="527" spans="1:10" ht="30.6" customHeight="1">
      <c r="A527" s="125" t="s">
        <v>1087</v>
      </c>
      <c r="B527" s="126">
        <v>98463</v>
      </c>
      <c r="C527" s="127" t="s">
        <v>1088</v>
      </c>
      <c r="D527" s="126" t="s">
        <v>12</v>
      </c>
      <c r="E527" s="126" t="s">
        <v>18</v>
      </c>
      <c r="F527" s="128">
        <v>33</v>
      </c>
      <c r="G527" s="129">
        <v>26.16</v>
      </c>
      <c r="H527" s="129">
        <f t="shared" ca="1" si="32"/>
        <v>32.700000000000003</v>
      </c>
      <c r="I527" s="130" t="s">
        <v>1566</v>
      </c>
      <c r="J527" s="131">
        <v>1079.0999999999999</v>
      </c>
    </row>
    <row r="528" spans="1:10">
      <c r="A528" s="125" t="s">
        <v>1089</v>
      </c>
      <c r="B528" s="126" t="s">
        <v>1090</v>
      </c>
      <c r="C528" s="127" t="s">
        <v>1091</v>
      </c>
      <c r="D528" s="126" t="s">
        <v>22</v>
      </c>
      <c r="E528" s="126" t="s">
        <v>18</v>
      </c>
      <c r="F528" s="128">
        <v>1</v>
      </c>
      <c r="G528" s="129">
        <v>339.21</v>
      </c>
      <c r="H528" s="129">
        <f t="shared" ca="1" si="32"/>
        <v>424.01249999999999</v>
      </c>
      <c r="I528" s="130" t="s">
        <v>1567</v>
      </c>
      <c r="J528" s="131">
        <f t="shared" ca="1" si="33"/>
        <v>424.01249999999999</v>
      </c>
    </row>
    <row r="529" spans="1:10" ht="21.6" customHeight="1">
      <c r="A529" s="125" t="s">
        <v>1092</v>
      </c>
      <c r="B529" s="126">
        <v>93358</v>
      </c>
      <c r="C529" s="127" t="s">
        <v>1093</v>
      </c>
      <c r="D529" s="126" t="s">
        <v>12</v>
      </c>
      <c r="E529" s="126" t="s">
        <v>46</v>
      </c>
      <c r="F529" s="128">
        <v>26.18</v>
      </c>
      <c r="G529" s="129">
        <v>78.88</v>
      </c>
      <c r="H529" s="129">
        <f t="shared" ca="1" si="32"/>
        <v>98.6</v>
      </c>
      <c r="I529" s="130" t="s">
        <v>1568</v>
      </c>
      <c r="J529" s="131">
        <v>2581.35</v>
      </c>
    </row>
    <row r="530" spans="1:10" ht="22.2" customHeight="1">
      <c r="A530" s="125" t="s">
        <v>1094</v>
      </c>
      <c r="B530" s="126">
        <v>93382</v>
      </c>
      <c r="C530" s="127" t="s">
        <v>1095</v>
      </c>
      <c r="D530" s="126" t="s">
        <v>12</v>
      </c>
      <c r="E530" s="126" t="s">
        <v>46</v>
      </c>
      <c r="F530" s="128">
        <v>26.18</v>
      </c>
      <c r="G530" s="129">
        <v>25.36</v>
      </c>
      <c r="H530" s="129">
        <f t="shared" ca="1" si="32"/>
        <v>31.7</v>
      </c>
      <c r="I530" s="130" t="s">
        <v>1569</v>
      </c>
      <c r="J530" s="131">
        <v>829.91</v>
      </c>
    </row>
    <row r="531" spans="1:10" ht="28.2" customHeight="1">
      <c r="A531" s="125" t="s">
        <v>1096</v>
      </c>
      <c r="B531" s="126">
        <v>96985</v>
      </c>
      <c r="C531" s="127" t="s">
        <v>1097</v>
      </c>
      <c r="D531" s="126" t="s">
        <v>12</v>
      </c>
      <c r="E531" s="126" t="s">
        <v>18</v>
      </c>
      <c r="F531" s="128">
        <v>11</v>
      </c>
      <c r="G531" s="129">
        <v>97.63</v>
      </c>
      <c r="H531" s="129">
        <f t="shared" ca="1" si="32"/>
        <v>122.03749999999999</v>
      </c>
      <c r="I531" s="130" t="s">
        <v>1570</v>
      </c>
      <c r="J531" s="131">
        <v>1342.44</v>
      </c>
    </row>
    <row r="532" spans="1:10" ht="29.4" customHeight="1">
      <c r="A532" s="125" t="s">
        <v>1098</v>
      </c>
      <c r="B532" s="126">
        <v>96973</v>
      </c>
      <c r="C532" s="127" t="s">
        <v>1099</v>
      </c>
      <c r="D532" s="126" t="s">
        <v>12</v>
      </c>
      <c r="E532" s="126" t="s">
        <v>25</v>
      </c>
      <c r="F532" s="128">
        <v>287</v>
      </c>
      <c r="G532" s="129">
        <v>62.93</v>
      </c>
      <c r="H532" s="129">
        <f t="shared" ca="1" si="32"/>
        <v>78.662499999999994</v>
      </c>
      <c r="I532" s="130" t="s">
        <v>1571</v>
      </c>
      <c r="J532" s="131">
        <v>22575.42</v>
      </c>
    </row>
    <row r="533" spans="1:10" ht="21" customHeight="1">
      <c r="A533" s="125" t="s">
        <v>1100</v>
      </c>
      <c r="B533" s="126">
        <v>96977</v>
      </c>
      <c r="C533" s="127" t="s">
        <v>1101</v>
      </c>
      <c r="D533" s="126" t="s">
        <v>12</v>
      </c>
      <c r="E533" s="126" t="s">
        <v>25</v>
      </c>
      <c r="F533" s="128">
        <v>174.5</v>
      </c>
      <c r="G533" s="129">
        <v>48.78</v>
      </c>
      <c r="H533" s="129">
        <f t="shared" ca="1" si="32"/>
        <v>60.975000000000001</v>
      </c>
      <c r="I533" s="130" t="s">
        <v>1572</v>
      </c>
      <c r="J533" s="131">
        <v>10641.01</v>
      </c>
    </row>
    <row r="534" spans="1:10" ht="29.4" customHeight="1">
      <c r="A534" s="125" t="s">
        <v>1102</v>
      </c>
      <c r="B534" s="126">
        <v>98111</v>
      </c>
      <c r="C534" s="127" t="s">
        <v>1103</v>
      </c>
      <c r="D534" s="126" t="s">
        <v>12</v>
      </c>
      <c r="E534" s="126" t="s">
        <v>18</v>
      </c>
      <c r="F534" s="128">
        <v>11</v>
      </c>
      <c r="G534" s="129">
        <v>46.88</v>
      </c>
      <c r="H534" s="129">
        <f t="shared" ca="1" si="32"/>
        <v>58.6</v>
      </c>
      <c r="I534" s="130" t="s">
        <v>1573</v>
      </c>
      <c r="J534" s="131">
        <v>644.6</v>
      </c>
    </row>
    <row r="535" spans="1:10">
      <c r="A535" s="125" t="s">
        <v>1104</v>
      </c>
      <c r="B535" s="126" t="s">
        <v>1043</v>
      </c>
      <c r="C535" s="127" t="s">
        <v>1044</v>
      </c>
      <c r="D535" s="126" t="s">
        <v>22</v>
      </c>
      <c r="E535" s="126" t="s">
        <v>18</v>
      </c>
      <c r="F535" s="128">
        <v>251</v>
      </c>
      <c r="G535" s="129">
        <v>18.579999999999998</v>
      </c>
      <c r="H535" s="129">
        <f t="shared" ca="1" si="32"/>
        <v>23.224999999999998</v>
      </c>
      <c r="I535" s="130" t="s">
        <v>1574</v>
      </c>
      <c r="J535" s="131">
        <v>5830.73</v>
      </c>
    </row>
    <row r="536" spans="1:10">
      <c r="A536" s="125" t="s">
        <v>1105</v>
      </c>
      <c r="B536" s="126" t="s">
        <v>1106</v>
      </c>
      <c r="C536" s="127" t="s">
        <v>1107</v>
      </c>
      <c r="D536" s="126" t="s">
        <v>22</v>
      </c>
      <c r="E536" s="126" t="s">
        <v>18</v>
      </c>
      <c r="F536" s="128">
        <v>22</v>
      </c>
      <c r="G536" s="129">
        <v>65.33</v>
      </c>
      <c r="H536" s="129">
        <f t="shared" ca="1" si="32"/>
        <v>81.662499999999994</v>
      </c>
      <c r="I536" s="130" t="s">
        <v>1575</v>
      </c>
      <c r="J536" s="131">
        <v>1796.52</v>
      </c>
    </row>
    <row r="537" spans="1:10" ht="20.100000000000001" customHeight="1">
      <c r="A537" s="122">
        <v>23</v>
      </c>
      <c r="B537" s="141" t="s">
        <v>1108</v>
      </c>
      <c r="C537" s="141"/>
      <c r="D537" s="141"/>
      <c r="E537" s="141"/>
      <c r="F537" s="141"/>
      <c r="G537" s="141"/>
      <c r="H537" s="122"/>
      <c r="I537" s="123">
        <v>69455.199999999997</v>
      </c>
      <c r="J537" s="124">
        <f ca="1">SUM(J538:J546)</f>
        <v>86818.564999999988</v>
      </c>
    </row>
    <row r="538" spans="1:10">
      <c r="A538" s="125" t="s">
        <v>1109</v>
      </c>
      <c r="B538" s="126" t="s">
        <v>1110</v>
      </c>
      <c r="C538" s="127" t="s">
        <v>1111</v>
      </c>
      <c r="D538" s="126" t="s">
        <v>22</v>
      </c>
      <c r="E538" s="126" t="s">
        <v>18</v>
      </c>
      <c r="F538" s="128">
        <v>1</v>
      </c>
      <c r="G538" s="129">
        <v>4159.38</v>
      </c>
      <c r="H538" s="129">
        <f t="shared" ca="1" si="32"/>
        <v>5199.2250000000004</v>
      </c>
      <c r="I538" s="130" t="s">
        <v>1576</v>
      </c>
      <c r="J538" s="131">
        <f t="shared" ca="1" si="33"/>
        <v>5199.2250000000004</v>
      </c>
    </row>
    <row r="539" spans="1:10" ht="27" customHeight="1">
      <c r="A539" s="125" t="s">
        <v>1112</v>
      </c>
      <c r="B539" s="126" t="s">
        <v>1113</v>
      </c>
      <c r="C539" s="127" t="s">
        <v>1114</v>
      </c>
      <c r="D539" s="126" t="s">
        <v>22</v>
      </c>
      <c r="E539" s="126" t="s">
        <v>13</v>
      </c>
      <c r="F539" s="128">
        <v>42.96</v>
      </c>
      <c r="G539" s="129">
        <v>569.65</v>
      </c>
      <c r="H539" s="129">
        <f t="shared" ca="1" si="32"/>
        <v>712.0625</v>
      </c>
      <c r="I539" s="130" t="s">
        <v>1577</v>
      </c>
      <c r="J539" s="131">
        <v>30590.1</v>
      </c>
    </row>
    <row r="540" spans="1:10" ht="18" customHeight="1">
      <c r="A540" s="125" t="s">
        <v>1115</v>
      </c>
      <c r="B540" s="126" t="s">
        <v>1116</v>
      </c>
      <c r="C540" s="127" t="s">
        <v>1117</v>
      </c>
      <c r="D540" s="126" t="s">
        <v>22</v>
      </c>
      <c r="E540" s="126" t="s">
        <v>13</v>
      </c>
      <c r="F540" s="128">
        <v>26.89</v>
      </c>
      <c r="G540" s="129">
        <v>490.17</v>
      </c>
      <c r="H540" s="129">
        <f t="shared" ca="1" si="32"/>
        <v>612.71249999999998</v>
      </c>
      <c r="I540" s="130" t="s">
        <v>1578</v>
      </c>
      <c r="J540" s="131">
        <v>16475.77</v>
      </c>
    </row>
    <row r="541" spans="1:10" ht="20.399999999999999" customHeight="1">
      <c r="A541" s="125" t="s">
        <v>1118</v>
      </c>
      <c r="B541" s="126" t="s">
        <v>1119</v>
      </c>
      <c r="C541" s="127" t="s">
        <v>1120</v>
      </c>
      <c r="D541" s="126" t="s">
        <v>22</v>
      </c>
      <c r="E541" s="126" t="s">
        <v>13</v>
      </c>
      <c r="F541" s="128">
        <v>30.15</v>
      </c>
      <c r="G541" s="129">
        <v>249.47</v>
      </c>
      <c r="H541" s="129">
        <f t="shared" ca="1" si="32"/>
        <v>311.83749999999998</v>
      </c>
      <c r="I541" s="130" t="s">
        <v>1579</v>
      </c>
      <c r="J541" s="131">
        <v>9401.98</v>
      </c>
    </row>
    <row r="542" spans="1:10" ht="31.2" customHeight="1">
      <c r="A542" s="125" t="s">
        <v>1121</v>
      </c>
      <c r="B542" s="126">
        <v>101965</v>
      </c>
      <c r="C542" s="127" t="s">
        <v>1122</v>
      </c>
      <c r="D542" s="126" t="s">
        <v>12</v>
      </c>
      <c r="E542" s="126" t="s">
        <v>25</v>
      </c>
      <c r="F542" s="128">
        <v>79.650000000000006</v>
      </c>
      <c r="G542" s="129">
        <v>114.84</v>
      </c>
      <c r="H542" s="129">
        <f t="shared" ca="1" si="32"/>
        <v>143.55000000000001</v>
      </c>
      <c r="I542" s="130" t="s">
        <v>1580</v>
      </c>
      <c r="J542" s="131">
        <v>11433.76</v>
      </c>
    </row>
    <row r="543" spans="1:10" ht="28.2" customHeight="1">
      <c r="A543" s="125" t="s">
        <v>1123</v>
      </c>
      <c r="B543" s="126">
        <v>100861</v>
      </c>
      <c r="C543" s="127" t="s">
        <v>1124</v>
      </c>
      <c r="D543" s="126" t="s">
        <v>12</v>
      </c>
      <c r="E543" s="126" t="s">
        <v>18</v>
      </c>
      <c r="F543" s="128">
        <v>148</v>
      </c>
      <c r="G543" s="129">
        <v>34.33</v>
      </c>
      <c r="H543" s="129">
        <f t="shared" ca="1" si="32"/>
        <v>42.912499999999994</v>
      </c>
      <c r="I543" s="130" t="s">
        <v>1581</v>
      </c>
      <c r="J543" s="131">
        <v>6350.68</v>
      </c>
    </row>
    <row r="544" spans="1:10">
      <c r="A544" s="125" t="s">
        <v>1125</v>
      </c>
      <c r="B544" s="126" t="s">
        <v>1126</v>
      </c>
      <c r="C544" s="127" t="s">
        <v>1127</v>
      </c>
      <c r="D544" s="126" t="s">
        <v>22</v>
      </c>
      <c r="E544" s="126" t="s">
        <v>25</v>
      </c>
      <c r="F544" s="128">
        <v>4.12</v>
      </c>
      <c r="G544" s="129">
        <v>198.37</v>
      </c>
      <c r="H544" s="129">
        <f t="shared" ca="1" si="32"/>
        <v>247.96250000000001</v>
      </c>
      <c r="I544" s="130" t="s">
        <v>1582</v>
      </c>
      <c r="J544" s="131">
        <v>1021.6</v>
      </c>
    </row>
    <row r="545" spans="1:10" ht="16.8" customHeight="1">
      <c r="A545" s="125" t="s">
        <v>1128</v>
      </c>
      <c r="B545" s="126" t="s">
        <v>1129</v>
      </c>
      <c r="C545" s="127" t="s">
        <v>1130</v>
      </c>
      <c r="D545" s="126" t="s">
        <v>22</v>
      </c>
      <c r="E545" s="126" t="s">
        <v>13</v>
      </c>
      <c r="F545" s="128">
        <v>9.32</v>
      </c>
      <c r="G545" s="129">
        <v>540.79</v>
      </c>
      <c r="H545" s="129">
        <f t="shared" ca="1" si="32"/>
        <v>675.98749999999995</v>
      </c>
      <c r="I545" s="130" t="s">
        <v>1583</v>
      </c>
      <c r="J545" s="131">
        <v>6300.23</v>
      </c>
    </row>
    <row r="546" spans="1:10">
      <c r="A546" s="125" t="s">
        <v>1131</v>
      </c>
      <c r="B546" s="126" t="s">
        <v>1132</v>
      </c>
      <c r="C546" s="127" t="s">
        <v>1133</v>
      </c>
      <c r="D546" s="126" t="s">
        <v>22</v>
      </c>
      <c r="E546" s="126" t="s">
        <v>25</v>
      </c>
      <c r="F546" s="128">
        <v>2</v>
      </c>
      <c r="G546" s="129">
        <v>18.09</v>
      </c>
      <c r="H546" s="129">
        <f t="shared" ca="1" si="32"/>
        <v>22.612500000000001</v>
      </c>
      <c r="I546" s="130" t="s">
        <v>1584</v>
      </c>
      <c r="J546" s="131">
        <v>45.22</v>
      </c>
    </row>
    <row r="547" spans="1:10" ht="20.100000000000001" customHeight="1">
      <c r="A547" s="122">
        <v>24</v>
      </c>
      <c r="B547" s="141" t="s">
        <v>1134</v>
      </c>
      <c r="C547" s="141"/>
      <c r="D547" s="141"/>
      <c r="E547" s="141"/>
      <c r="F547" s="141"/>
      <c r="G547" s="141"/>
      <c r="H547" s="122"/>
      <c r="I547" s="123">
        <v>2334.92</v>
      </c>
      <c r="J547" s="124">
        <f>SUM(J548:J549)</f>
        <v>2916.45</v>
      </c>
    </row>
    <row r="548" spans="1:10" ht="20.399999999999999" customHeight="1">
      <c r="A548" s="125" t="s">
        <v>1135</v>
      </c>
      <c r="B548" s="126">
        <v>99803</v>
      </c>
      <c r="C548" s="127" t="s">
        <v>1136</v>
      </c>
      <c r="D548" s="126" t="s">
        <v>12</v>
      </c>
      <c r="E548" s="126" t="s">
        <v>13</v>
      </c>
      <c r="F548" s="128">
        <v>891.68</v>
      </c>
      <c r="G548" s="129">
        <v>1.93</v>
      </c>
      <c r="H548" s="129">
        <f t="shared" ca="1" si="32"/>
        <v>2.4125000000000001</v>
      </c>
      <c r="I548" s="130" t="s">
        <v>1585</v>
      </c>
      <c r="J548" s="131">
        <v>2148.9499999999998</v>
      </c>
    </row>
    <row r="549" spans="1:10" ht="28.8" customHeight="1">
      <c r="A549" s="125" t="s">
        <v>1137</v>
      </c>
      <c r="B549" s="126">
        <v>103689</v>
      </c>
      <c r="C549" s="127" t="s">
        <v>11</v>
      </c>
      <c r="D549" s="126" t="s">
        <v>12</v>
      </c>
      <c r="E549" s="126" t="s">
        <v>13</v>
      </c>
      <c r="F549" s="128">
        <v>2</v>
      </c>
      <c r="G549" s="129">
        <v>307</v>
      </c>
      <c r="H549" s="129">
        <f t="shared" ca="1" si="32"/>
        <v>383.75</v>
      </c>
      <c r="I549" s="130" t="s">
        <v>1586</v>
      </c>
      <c r="J549" s="131">
        <v>767.5</v>
      </c>
    </row>
    <row r="550" spans="1:10">
      <c r="A550" s="125"/>
      <c r="B550" s="126"/>
      <c r="C550" s="127"/>
      <c r="D550" s="126"/>
      <c r="E550" s="126"/>
      <c r="F550" s="142"/>
      <c r="G550" s="143"/>
      <c r="H550" s="144"/>
      <c r="I550" s="132"/>
      <c r="J550" s="133"/>
    </row>
    <row r="551" spans="1:10" ht="15" customHeight="1">
      <c r="A551" s="134"/>
      <c r="B551" s="134"/>
      <c r="C551" s="134"/>
      <c r="D551" s="134"/>
      <c r="E551" s="134"/>
      <c r="F551" s="138" t="s">
        <v>1138</v>
      </c>
      <c r="G551" s="138"/>
      <c r="H551" s="135"/>
      <c r="I551" s="123">
        <v>2564250.5699999998</v>
      </c>
      <c r="J551" s="124"/>
    </row>
    <row r="552" spans="1:10" ht="15" customHeight="1" thickBot="1">
      <c r="A552" s="136"/>
      <c r="B552" s="136"/>
      <c r="C552" s="136"/>
      <c r="D552" s="136"/>
      <c r="E552" s="136"/>
      <c r="F552" s="138" t="s">
        <v>1139</v>
      </c>
      <c r="G552" s="138"/>
      <c r="H552" s="135"/>
      <c r="I552" s="123">
        <v>2564250.5699999998</v>
      </c>
      <c r="J552" s="137">
        <f ca="1">SUM(J547,J537,J521,J518,J492,J480,J420,J394,J380,J345,J310,J299,J246,J229,J207,J190,J187,J180,J135,J120,J80,J40,J25,J15)</f>
        <v>3202272.3118750001</v>
      </c>
    </row>
    <row r="553" spans="1:10" ht="262.2" customHeight="1" thickBot="1">
      <c r="A553" s="139" t="s">
        <v>1596</v>
      </c>
      <c r="B553" s="140"/>
      <c r="C553" s="140"/>
      <c r="D553" s="140"/>
      <c r="E553" s="140"/>
      <c r="F553" s="140"/>
      <c r="G553" s="140"/>
      <c r="H553" s="140"/>
      <c r="I553" s="140"/>
      <c r="J553" s="36"/>
    </row>
    <row r="556" spans="1:10">
      <c r="E556" s="145"/>
      <c r="F556" s="145"/>
      <c r="G556" s="145"/>
      <c r="H556" s="145"/>
      <c r="I556" s="145"/>
      <c r="J556" s="70"/>
    </row>
    <row r="557" spans="1:10">
      <c r="C557" s="70" t="s">
        <v>1662</v>
      </c>
      <c r="D557" s="145" t="s">
        <v>1666</v>
      </c>
      <c r="E557" s="145"/>
      <c r="F557" s="145"/>
      <c r="G557" s="145"/>
      <c r="H557" s="145"/>
      <c r="I557" s="145"/>
      <c r="J557" s="70"/>
    </row>
    <row r="558" spans="1:10">
      <c r="C558" s="70" t="s">
        <v>1663</v>
      </c>
      <c r="D558" s="145" t="s">
        <v>1667</v>
      </c>
      <c r="E558" s="145"/>
      <c r="F558" s="145"/>
      <c r="G558" s="145"/>
      <c r="H558" s="145"/>
      <c r="I558" s="145"/>
      <c r="J558" s="70"/>
    </row>
    <row r="559" spans="1:10">
      <c r="C559" s="70" t="s">
        <v>1665</v>
      </c>
      <c r="D559" s="145" t="s">
        <v>1668</v>
      </c>
      <c r="E559" s="145"/>
      <c r="F559" s="145"/>
      <c r="G559" s="145"/>
      <c r="H559" s="145"/>
      <c r="I559" s="145"/>
      <c r="J559" s="70"/>
    </row>
    <row r="560" spans="1:10">
      <c r="C560" s="70" t="s">
        <v>1664</v>
      </c>
      <c r="D560" s="145"/>
      <c r="E560" s="145"/>
      <c r="F560" s="145"/>
      <c r="G560" s="145"/>
      <c r="H560" s="145"/>
      <c r="I560" s="145"/>
      <c r="J560" s="70"/>
    </row>
  </sheetData>
  <mergeCells count="97">
    <mergeCell ref="D560:I560"/>
    <mergeCell ref="A1:J3"/>
    <mergeCell ref="E556:I556"/>
    <mergeCell ref="D557:I557"/>
    <mergeCell ref="D558:I558"/>
    <mergeCell ref="D559:I559"/>
    <mergeCell ref="B59:G59"/>
    <mergeCell ref="F7:I7"/>
    <mergeCell ref="B13:G13"/>
    <mergeCell ref="B15:G15"/>
    <mergeCell ref="B25:G25"/>
    <mergeCell ref="B26:G26"/>
    <mergeCell ref="B32:G32"/>
    <mergeCell ref="B36:G36"/>
    <mergeCell ref="B40:G40"/>
    <mergeCell ref="B41:G41"/>
    <mergeCell ref="B50:G50"/>
    <mergeCell ref="B115:G115"/>
    <mergeCell ref="B69:G69"/>
    <mergeCell ref="B75:G75"/>
    <mergeCell ref="B80:G80"/>
    <mergeCell ref="B81:G81"/>
    <mergeCell ref="B87:G87"/>
    <mergeCell ref="B93:G93"/>
    <mergeCell ref="B95:G95"/>
    <mergeCell ref="B100:G100"/>
    <mergeCell ref="B107:G107"/>
    <mergeCell ref="B109:G109"/>
    <mergeCell ref="B110:G110"/>
    <mergeCell ref="B172:G172"/>
    <mergeCell ref="B120:G120"/>
    <mergeCell ref="B121:G121"/>
    <mergeCell ref="B123:G123"/>
    <mergeCell ref="B129:G129"/>
    <mergeCell ref="B131:G131"/>
    <mergeCell ref="B135:G135"/>
    <mergeCell ref="B136:G136"/>
    <mergeCell ref="B144:G144"/>
    <mergeCell ref="B148:G148"/>
    <mergeCell ref="B154:G154"/>
    <mergeCell ref="B170:G170"/>
    <mergeCell ref="B240:G240"/>
    <mergeCell ref="B180:G180"/>
    <mergeCell ref="B187:G187"/>
    <mergeCell ref="B190:G190"/>
    <mergeCell ref="B191:G191"/>
    <mergeCell ref="B204:G204"/>
    <mergeCell ref="B207:G207"/>
    <mergeCell ref="B208:G208"/>
    <mergeCell ref="B221:G221"/>
    <mergeCell ref="B229:G229"/>
    <mergeCell ref="B230:G230"/>
    <mergeCell ref="B237:G237"/>
    <mergeCell ref="B341:G341"/>
    <mergeCell ref="B241:G241"/>
    <mergeCell ref="B243:G243"/>
    <mergeCell ref="B246:G246"/>
    <mergeCell ref="B247:G247"/>
    <mergeCell ref="B290:G290"/>
    <mergeCell ref="B297:G297"/>
    <mergeCell ref="B299:G299"/>
    <mergeCell ref="B300:G300"/>
    <mergeCell ref="B307:G307"/>
    <mergeCell ref="B310:G310"/>
    <mergeCell ref="B311:G311"/>
    <mergeCell ref="B426:G426"/>
    <mergeCell ref="B345:G345"/>
    <mergeCell ref="B380:G380"/>
    <mergeCell ref="B394:G394"/>
    <mergeCell ref="B395:G395"/>
    <mergeCell ref="B398:G398"/>
    <mergeCell ref="B401:G401"/>
    <mergeCell ref="B410:G410"/>
    <mergeCell ref="B416:G416"/>
    <mergeCell ref="B420:G420"/>
    <mergeCell ref="B421:G421"/>
    <mergeCell ref="B481:G481"/>
    <mergeCell ref="B442:G442"/>
    <mergeCell ref="B452:G452"/>
    <mergeCell ref="B462:G462"/>
    <mergeCell ref="B465:G465"/>
    <mergeCell ref="B480:G480"/>
    <mergeCell ref="F552:G552"/>
    <mergeCell ref="A553:I553"/>
    <mergeCell ref="F551:G551"/>
    <mergeCell ref="B547:G547"/>
    <mergeCell ref="B487:G487"/>
    <mergeCell ref="B492:G492"/>
    <mergeCell ref="B501:G501"/>
    <mergeCell ref="B504:G504"/>
    <mergeCell ref="B493:G493"/>
    <mergeCell ref="B508:G508"/>
    <mergeCell ref="B515:G515"/>
    <mergeCell ref="B518:G518"/>
    <mergeCell ref="B521:G521"/>
    <mergeCell ref="B537:G537"/>
    <mergeCell ref="F550:H550"/>
  </mergeCells>
  <phoneticPr fontId="30" type="noConversion"/>
  <pageMargins left="0.511811024" right="0.511811024" top="0.78740157499999996" bottom="0.78740157499999996" header="0.31496062000000002" footer="0.31496062000000002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6F77-CA1F-495B-833F-347244EE8267}">
  <sheetPr>
    <pageSetUpPr fitToPage="1"/>
  </sheetPr>
  <dimension ref="A1:AD42"/>
  <sheetViews>
    <sheetView view="pageBreakPreview" topLeftCell="A19" zoomScale="90" zoomScaleSheetLayoutView="90" workbookViewId="0">
      <selection activeCell="AA3" sqref="AA3"/>
    </sheetView>
  </sheetViews>
  <sheetFormatPr defaultColWidth="10.3984375" defaultRowHeight="10.199999999999999"/>
  <cols>
    <col min="1" max="1" width="1.8984375" style="71" customWidth="1"/>
    <col min="2" max="2" width="4.8984375" style="71" customWidth="1"/>
    <col min="3" max="3" width="16.09765625" style="71" customWidth="1"/>
    <col min="4" max="4" width="8.5" style="71" customWidth="1"/>
    <col min="5" max="5" width="12.296875" style="71" customWidth="1"/>
    <col min="6" max="6" width="9" style="86" customWidth="1"/>
    <col min="7" max="7" width="12.09765625" style="71" customWidth="1"/>
    <col min="8" max="8" width="11.3984375" style="71" customWidth="1"/>
    <col min="9" max="9" width="12.19921875" style="71" customWidth="1"/>
    <col min="10" max="10" width="11.19921875" style="71" customWidth="1"/>
    <col min="11" max="11" width="11.09765625" style="71" customWidth="1"/>
    <col min="12" max="12" width="12.19921875" style="71" customWidth="1"/>
    <col min="13" max="13" width="11.19921875" style="71" customWidth="1"/>
    <col min="14" max="14" width="11.3984375" style="71" customWidth="1"/>
    <col min="15" max="15" width="12.5" style="71" customWidth="1"/>
    <col min="16" max="16" width="12.59765625" style="71" customWidth="1"/>
    <col min="17" max="17" width="11.19921875" style="71" customWidth="1"/>
    <col min="18" max="18" width="12" style="71" customWidth="1"/>
    <col min="19" max="19" width="12.5" style="71" customWidth="1"/>
    <col min="20" max="20" width="13.19921875" style="71" customWidth="1"/>
    <col min="21" max="21" width="12.796875" style="71" customWidth="1"/>
    <col min="22" max="22" width="12.09765625" style="71" customWidth="1"/>
    <col min="23" max="23" width="12" style="71" customWidth="1"/>
    <col min="24" max="24" width="12.69921875" style="71" customWidth="1"/>
    <col min="25" max="25" width="13.296875" style="71" customWidth="1"/>
    <col min="26" max="26" width="11.69921875" style="71" customWidth="1"/>
    <col min="27" max="16384" width="10.3984375" style="71"/>
  </cols>
  <sheetData>
    <row r="1" spans="2:30" ht="20.100000000000001" customHeight="1">
      <c r="B1" s="72"/>
      <c r="C1" s="73"/>
      <c r="D1" s="73"/>
      <c r="E1" s="73"/>
      <c r="F1" s="73"/>
      <c r="G1" s="74"/>
      <c r="H1" s="74"/>
      <c r="I1" s="74"/>
      <c r="J1" s="74"/>
      <c r="K1" s="73"/>
      <c r="L1" s="73"/>
      <c r="M1" s="73"/>
      <c r="O1" s="73"/>
      <c r="Q1" s="73"/>
      <c r="S1" s="73"/>
    </row>
    <row r="2" spans="2:30" ht="22.8" customHeight="1">
      <c r="B2" s="73"/>
      <c r="C2" s="73"/>
      <c r="D2" s="159" t="s">
        <v>1707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</row>
    <row r="3" spans="2:30" s="75" customFormat="1" ht="27" customHeight="1">
      <c r="B3" s="75" t="s">
        <v>1669</v>
      </c>
      <c r="D3" s="76"/>
      <c r="E3" s="76"/>
      <c r="F3" s="77"/>
      <c r="G3" s="78"/>
    </row>
    <row r="4" spans="2:30" s="75" customFormat="1" ht="13.95" customHeight="1">
      <c r="B4" s="79"/>
      <c r="D4" s="76"/>
      <c r="E4" s="76"/>
      <c r="F4" s="79"/>
      <c r="G4" s="161"/>
      <c r="H4" s="161"/>
      <c r="I4" s="161"/>
      <c r="J4" s="161"/>
    </row>
    <row r="5" spans="2:30" s="75" customFormat="1" ht="15.6" customHeight="1">
      <c r="B5" s="79" t="s">
        <v>1670</v>
      </c>
      <c r="C5" s="79"/>
      <c r="F5" s="77"/>
      <c r="G5" s="80"/>
    </row>
    <row r="6" spans="2:30" s="75" customFormat="1" ht="21.75" customHeight="1">
      <c r="C6" s="81" t="s">
        <v>1671</v>
      </c>
      <c r="D6" s="162" t="s">
        <v>1704</v>
      </c>
      <c r="E6" s="163"/>
      <c r="F6" s="163"/>
      <c r="G6" s="163"/>
      <c r="H6" s="163"/>
      <c r="I6" s="163"/>
      <c r="J6" s="163"/>
      <c r="K6" s="164"/>
      <c r="L6" s="165" t="s">
        <v>1672</v>
      </c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7"/>
    </row>
    <row r="7" spans="2:30" s="75" customFormat="1" ht="30" customHeight="1">
      <c r="C7" s="82" t="s">
        <v>1673</v>
      </c>
      <c r="D7" s="83" t="s">
        <v>1674</v>
      </c>
      <c r="E7" s="84"/>
      <c r="F7" s="85"/>
      <c r="G7" s="82" t="s">
        <v>1675</v>
      </c>
      <c r="H7" s="84"/>
      <c r="I7" s="84"/>
      <c r="J7" s="168" t="s">
        <v>1703</v>
      </c>
      <c r="K7" s="169"/>
      <c r="L7" s="170" t="s">
        <v>1702</v>
      </c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</row>
    <row r="8" spans="2:30">
      <c r="B8" s="86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</row>
    <row r="9" spans="2:30" ht="12.75" customHeight="1">
      <c r="B9" s="171" t="s">
        <v>1</v>
      </c>
      <c r="C9" s="174" t="s">
        <v>1676</v>
      </c>
      <c r="D9" s="175"/>
      <c r="E9" s="180" t="s">
        <v>1677</v>
      </c>
      <c r="F9" s="171" t="s">
        <v>1678</v>
      </c>
      <c r="G9" s="183" t="s">
        <v>1679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</row>
    <row r="10" spans="2:30">
      <c r="B10" s="172"/>
      <c r="C10" s="176"/>
      <c r="D10" s="177"/>
      <c r="E10" s="181"/>
      <c r="F10" s="172"/>
      <c r="G10" s="88" t="s">
        <v>1680</v>
      </c>
      <c r="H10" s="89"/>
      <c r="I10" s="90" t="s">
        <v>1681</v>
      </c>
      <c r="J10" s="91"/>
      <c r="K10" s="92" t="s">
        <v>1682</v>
      </c>
      <c r="L10" s="93"/>
      <c r="M10" s="184" t="s">
        <v>1683</v>
      </c>
      <c r="N10" s="185"/>
      <c r="O10" s="184" t="s">
        <v>1684</v>
      </c>
      <c r="P10" s="185"/>
      <c r="Q10" s="184" t="s">
        <v>1692</v>
      </c>
      <c r="R10" s="185"/>
      <c r="S10" s="184" t="s">
        <v>1693</v>
      </c>
      <c r="T10" s="185"/>
      <c r="U10" s="184" t="s">
        <v>1694</v>
      </c>
      <c r="V10" s="185"/>
      <c r="W10" s="184" t="s">
        <v>1695</v>
      </c>
      <c r="X10" s="185"/>
      <c r="Y10" s="184" t="s">
        <v>1696</v>
      </c>
      <c r="Z10" s="185"/>
      <c r="AA10" s="184" t="s">
        <v>1697</v>
      </c>
      <c r="AB10" s="185"/>
      <c r="AC10" s="184" t="s">
        <v>1698</v>
      </c>
      <c r="AD10" s="185"/>
    </row>
    <row r="11" spans="2:30" ht="12" customHeight="1">
      <c r="B11" s="173"/>
      <c r="C11" s="178"/>
      <c r="D11" s="179"/>
      <c r="E11" s="182"/>
      <c r="F11" s="94" t="s">
        <v>1685</v>
      </c>
      <c r="G11" s="95" t="s">
        <v>1686</v>
      </c>
      <c r="H11" s="95" t="s">
        <v>1687</v>
      </c>
      <c r="I11" s="95" t="s">
        <v>1686</v>
      </c>
      <c r="J11" s="96" t="s">
        <v>1687</v>
      </c>
      <c r="K11" s="93" t="s">
        <v>1686</v>
      </c>
      <c r="L11" s="93" t="s">
        <v>1687</v>
      </c>
      <c r="M11" s="93" t="s">
        <v>1686</v>
      </c>
      <c r="N11" s="87" t="s">
        <v>1687</v>
      </c>
      <c r="O11" s="93" t="s">
        <v>1686</v>
      </c>
      <c r="P11" s="87" t="s">
        <v>1687</v>
      </c>
      <c r="Q11" s="93" t="s">
        <v>1686</v>
      </c>
      <c r="R11" s="87" t="s">
        <v>1687</v>
      </c>
      <c r="S11" s="93" t="s">
        <v>1686</v>
      </c>
      <c r="T11" s="87" t="s">
        <v>1687</v>
      </c>
      <c r="U11" s="93" t="s">
        <v>1686</v>
      </c>
      <c r="V11" s="87" t="s">
        <v>1687</v>
      </c>
      <c r="W11" s="93" t="s">
        <v>1686</v>
      </c>
      <c r="X11" s="87" t="s">
        <v>1687</v>
      </c>
      <c r="Y11" s="93" t="s">
        <v>1686</v>
      </c>
      <c r="Z11" s="87" t="s">
        <v>1687</v>
      </c>
      <c r="AA11" s="93" t="s">
        <v>1686</v>
      </c>
      <c r="AB11" s="87" t="s">
        <v>1687</v>
      </c>
      <c r="AC11" s="93" t="s">
        <v>1686</v>
      </c>
      <c r="AD11" s="93" t="s">
        <v>1687</v>
      </c>
    </row>
    <row r="12" spans="2:30" ht="27" customHeight="1">
      <c r="B12" s="97">
        <v>1</v>
      </c>
      <c r="C12" s="191" t="s">
        <v>9</v>
      </c>
      <c r="D12" s="191"/>
      <c r="E12" s="98">
        <f ca="1">MG!J15</f>
        <v>468288.9975</v>
      </c>
      <c r="F12" s="99">
        <f ca="1">E12/E37</f>
        <v>0.1462364695730097</v>
      </c>
      <c r="G12" s="99">
        <v>0.15</v>
      </c>
      <c r="H12" s="100">
        <f>SUM(G12)</f>
        <v>0.15</v>
      </c>
      <c r="I12" s="101">
        <v>9.4399999999999998E-2</v>
      </c>
      <c r="J12" s="100">
        <f>SUM(H12:I12)</f>
        <v>0.24440000000000001</v>
      </c>
      <c r="K12" s="101">
        <v>9.4399999999999998E-2</v>
      </c>
      <c r="L12" s="100">
        <f>SUM(J12:K12)</f>
        <v>0.33879999999999999</v>
      </c>
      <c r="M12" s="101">
        <v>9.4399999999999998E-2</v>
      </c>
      <c r="N12" s="100">
        <f>SUM(L12:M12)</f>
        <v>0.43319999999999997</v>
      </c>
      <c r="O12" s="101">
        <v>9.4399999999999998E-2</v>
      </c>
      <c r="P12" s="100">
        <f>SUM(N12:O12)</f>
        <v>0.52759999999999996</v>
      </c>
      <c r="Q12" s="101">
        <v>9.4399999999999998E-2</v>
      </c>
      <c r="R12" s="100">
        <f>SUM(P12:Q12)</f>
        <v>0.622</v>
      </c>
      <c r="S12" s="101">
        <v>9.4500000000000001E-2</v>
      </c>
      <c r="T12" s="100">
        <f>SUM(R12:S12)</f>
        <v>0.71650000000000003</v>
      </c>
      <c r="U12" s="101">
        <v>9.4500000000000001E-2</v>
      </c>
      <c r="V12" s="100">
        <f>SUM(T12:U12)</f>
        <v>0.81100000000000005</v>
      </c>
      <c r="W12" s="101">
        <v>9.4500000000000001E-2</v>
      </c>
      <c r="X12" s="100">
        <f>SUM(V12:W12)</f>
        <v>0.90550000000000008</v>
      </c>
      <c r="Y12" s="101">
        <v>9.4500000000000001E-2</v>
      </c>
      <c r="Z12" s="100">
        <f>SUM(X12:Y12)</f>
        <v>1</v>
      </c>
      <c r="AA12" s="101"/>
      <c r="AB12" s="100"/>
      <c r="AC12" s="101"/>
      <c r="AD12" s="100"/>
    </row>
    <row r="13" spans="2:30" ht="28.5" customHeight="1">
      <c r="B13" s="97">
        <v>2</v>
      </c>
      <c r="C13" s="193" t="s">
        <v>39</v>
      </c>
      <c r="D13" s="193"/>
      <c r="E13" s="98">
        <f ca="1">MG!J25</f>
        <v>48696.701375000004</v>
      </c>
      <c r="F13" s="99">
        <f ca="1">E$13/E$37</f>
        <v>1.5206920783850209E-2</v>
      </c>
      <c r="G13" s="99">
        <v>1</v>
      </c>
      <c r="H13" s="100">
        <f>SUM(G13)</f>
        <v>1</v>
      </c>
      <c r="I13" s="99"/>
      <c r="J13" s="100"/>
      <c r="K13" s="99"/>
      <c r="L13" s="100"/>
      <c r="M13" s="99"/>
      <c r="N13" s="100"/>
      <c r="O13" s="99"/>
      <c r="P13" s="100"/>
      <c r="Q13" s="99"/>
      <c r="R13" s="100"/>
      <c r="S13" s="99"/>
      <c r="T13" s="100"/>
      <c r="U13" s="99"/>
      <c r="V13" s="100"/>
      <c r="W13" s="99"/>
      <c r="X13" s="100"/>
      <c r="Y13" s="99"/>
      <c r="Z13" s="100"/>
      <c r="AA13" s="99"/>
      <c r="AB13" s="100"/>
      <c r="AC13" s="99"/>
      <c r="AD13" s="100"/>
    </row>
    <row r="14" spans="2:30" ht="28.5" customHeight="1">
      <c r="B14" s="97">
        <v>3</v>
      </c>
      <c r="C14" s="187" t="s">
        <v>63</v>
      </c>
      <c r="D14" s="188"/>
      <c r="E14" s="98">
        <f ca="1">MG!J40</f>
        <v>157129.61000000004</v>
      </c>
      <c r="F14" s="99">
        <f ca="1">E14/E$37</f>
        <v>4.9068159949207199E-2</v>
      </c>
      <c r="G14" s="99">
        <v>0.2</v>
      </c>
      <c r="H14" s="100">
        <f>SUM(G14)</f>
        <v>0.2</v>
      </c>
      <c r="I14" s="99">
        <v>0.8</v>
      </c>
      <c r="J14" s="100">
        <f>SUM(H14:I14)</f>
        <v>1</v>
      </c>
      <c r="K14" s="99"/>
      <c r="L14" s="100"/>
      <c r="M14" s="99"/>
      <c r="N14" s="100"/>
      <c r="O14" s="99"/>
      <c r="P14" s="100"/>
      <c r="Q14" s="99"/>
      <c r="R14" s="100"/>
      <c r="S14" s="99"/>
      <c r="T14" s="100"/>
      <c r="U14" s="99"/>
      <c r="V14" s="100"/>
      <c r="W14" s="99"/>
      <c r="X14" s="100"/>
      <c r="Y14" s="99"/>
      <c r="Z14" s="100"/>
      <c r="AA14" s="99"/>
      <c r="AB14" s="100"/>
      <c r="AC14" s="99"/>
      <c r="AD14" s="100"/>
    </row>
    <row r="15" spans="2:30" ht="28.5" customHeight="1">
      <c r="B15" s="97">
        <v>4</v>
      </c>
      <c r="C15" s="187" t="s">
        <v>127</v>
      </c>
      <c r="D15" s="188"/>
      <c r="E15" s="98">
        <f ca="1">MG!J80</f>
        <v>384926.35749999998</v>
      </c>
      <c r="F15" s="99">
        <f ca="1">E15/E$37</f>
        <v>0.12020413007119221</v>
      </c>
      <c r="G15" s="99"/>
      <c r="H15" s="100"/>
      <c r="I15" s="99">
        <v>0.6</v>
      </c>
      <c r="J15" s="100">
        <f>SUM(H15:I15)</f>
        <v>0.6</v>
      </c>
      <c r="K15" s="99">
        <v>0.4</v>
      </c>
      <c r="L15" s="100">
        <f>SUM(J15:K15)</f>
        <v>1</v>
      </c>
      <c r="M15" s="99"/>
      <c r="N15" s="100"/>
      <c r="O15" s="99"/>
      <c r="P15" s="100"/>
      <c r="Q15" s="99"/>
      <c r="R15" s="100"/>
      <c r="S15" s="99"/>
      <c r="T15" s="100"/>
      <c r="U15" s="99"/>
      <c r="V15" s="100"/>
      <c r="W15" s="99"/>
      <c r="X15" s="100"/>
      <c r="Y15" s="99"/>
      <c r="Z15" s="100"/>
      <c r="AA15" s="99"/>
      <c r="AB15" s="100"/>
      <c r="AC15" s="99"/>
      <c r="AD15" s="100"/>
    </row>
    <row r="16" spans="2:30" ht="28.5" customHeight="1">
      <c r="B16" s="97">
        <v>5</v>
      </c>
      <c r="C16" s="187" t="s">
        <v>190</v>
      </c>
      <c r="D16" s="188"/>
      <c r="E16" s="98">
        <f>MG!J120</f>
        <v>228640.08</v>
      </c>
      <c r="F16" s="99">
        <f t="shared" ref="F16:F35" ca="1" si="0">E16/E$37</f>
        <v>7.1399324520945009E-2</v>
      </c>
      <c r="G16" s="99"/>
      <c r="H16" s="100"/>
      <c r="I16" s="99"/>
      <c r="J16" s="100"/>
      <c r="K16" s="99">
        <v>0.2</v>
      </c>
      <c r="L16" s="100">
        <f>SUM(J16:K16)</f>
        <v>0.2</v>
      </c>
      <c r="M16" s="99">
        <v>0.8</v>
      </c>
      <c r="N16" s="100">
        <f>SUM(L16:M16)</f>
        <v>1</v>
      </c>
      <c r="O16" s="99"/>
      <c r="P16" s="100"/>
      <c r="Q16" s="99"/>
      <c r="R16" s="100"/>
      <c r="S16" s="99"/>
      <c r="T16" s="100"/>
      <c r="U16" s="99"/>
      <c r="V16" s="100"/>
      <c r="W16" s="99"/>
      <c r="X16" s="100"/>
      <c r="Y16" s="99"/>
      <c r="Z16" s="100"/>
      <c r="AA16" s="99"/>
      <c r="AB16" s="100"/>
      <c r="AC16" s="99"/>
      <c r="AD16" s="100"/>
    </row>
    <row r="17" spans="2:30" ht="28.5" customHeight="1">
      <c r="B17" s="97">
        <v>6</v>
      </c>
      <c r="C17" s="187" t="s">
        <v>219</v>
      </c>
      <c r="D17" s="188"/>
      <c r="E17" s="98">
        <f ca="1">MG!J135</f>
        <v>315909.28200000001</v>
      </c>
      <c r="F17" s="99">
        <f t="shared" ca="1" si="0"/>
        <v>9.8651598375476129E-2</v>
      </c>
      <c r="G17" s="99"/>
      <c r="H17" s="100"/>
      <c r="I17" s="99"/>
      <c r="J17" s="100"/>
      <c r="K17" s="99"/>
      <c r="L17" s="100"/>
      <c r="M17" s="99"/>
      <c r="N17" s="100"/>
      <c r="O17" s="99">
        <v>0.5</v>
      </c>
      <c r="P17" s="100">
        <f>SUM(N17:O17)</f>
        <v>0.5</v>
      </c>
      <c r="Q17" s="99">
        <v>0.5</v>
      </c>
      <c r="R17" s="100">
        <f>SUM(P17:Q17)</f>
        <v>1</v>
      </c>
      <c r="S17" s="99"/>
      <c r="T17" s="100"/>
      <c r="U17" s="99"/>
      <c r="V17" s="100"/>
      <c r="W17" s="99"/>
      <c r="X17" s="100"/>
      <c r="Y17" s="99"/>
      <c r="Z17" s="100"/>
      <c r="AA17" s="99"/>
      <c r="AB17" s="100"/>
      <c r="AC17" s="99"/>
      <c r="AD17" s="100"/>
    </row>
    <row r="18" spans="2:30" ht="28.5" customHeight="1">
      <c r="B18" s="97">
        <v>7</v>
      </c>
      <c r="C18" s="187" t="s">
        <v>345</v>
      </c>
      <c r="D18" s="188"/>
      <c r="E18" s="98">
        <f>MG!J180</f>
        <v>209309.93999999997</v>
      </c>
      <c r="F18" s="99">
        <f t="shared" ca="1" si="0"/>
        <v>6.5362942190710954E-2</v>
      </c>
      <c r="G18" s="99"/>
      <c r="H18" s="100"/>
      <c r="I18" s="99"/>
      <c r="J18" s="100"/>
      <c r="K18" s="99"/>
      <c r="L18" s="100"/>
      <c r="M18" s="99"/>
      <c r="N18" s="100"/>
      <c r="O18" s="99">
        <v>0.5</v>
      </c>
      <c r="P18" s="100">
        <f>SUM(N18:O18)</f>
        <v>0.5</v>
      </c>
      <c r="Q18" s="99">
        <v>0.5</v>
      </c>
      <c r="R18" s="100">
        <f>SUM(P18:Q18)</f>
        <v>1</v>
      </c>
      <c r="S18" s="99"/>
      <c r="T18" s="100"/>
      <c r="U18" s="99"/>
      <c r="V18" s="100"/>
      <c r="W18" s="99"/>
      <c r="X18" s="100"/>
      <c r="Y18" s="99"/>
      <c r="Z18" s="100"/>
      <c r="AA18" s="99"/>
      <c r="AB18" s="100"/>
      <c r="AC18" s="99"/>
      <c r="AD18" s="100"/>
    </row>
    <row r="19" spans="2:30" ht="28.5" customHeight="1">
      <c r="B19" s="97">
        <v>8</v>
      </c>
      <c r="C19" s="187" t="s">
        <v>363</v>
      </c>
      <c r="D19" s="188"/>
      <c r="E19" s="98">
        <f>MG!J187</f>
        <v>26732.440000000002</v>
      </c>
      <c r="F19" s="99">
        <f t="shared" ca="1" si="0"/>
        <v>8.3479596350591358E-3</v>
      </c>
      <c r="G19" s="99"/>
      <c r="H19" s="100"/>
      <c r="I19" s="99">
        <v>1</v>
      </c>
      <c r="J19" s="100">
        <f>SUM(H19:I19)</f>
        <v>1</v>
      </c>
      <c r="K19" s="99"/>
      <c r="L19" s="100"/>
      <c r="M19" s="99"/>
      <c r="N19" s="100"/>
      <c r="O19" s="99"/>
      <c r="P19" s="100"/>
      <c r="Q19" s="99"/>
      <c r="R19" s="100"/>
      <c r="S19" s="99"/>
      <c r="T19" s="100"/>
      <c r="U19" s="99"/>
      <c r="V19" s="100"/>
      <c r="W19" s="99"/>
      <c r="X19" s="100"/>
      <c r="Y19" s="99"/>
      <c r="Z19" s="100"/>
      <c r="AA19" s="99"/>
      <c r="AB19" s="100"/>
      <c r="AC19" s="99"/>
      <c r="AD19" s="100"/>
    </row>
    <row r="20" spans="2:30" ht="28.5" customHeight="1">
      <c r="B20" s="97">
        <v>9</v>
      </c>
      <c r="C20" s="189" t="s">
        <v>370</v>
      </c>
      <c r="D20" s="190"/>
      <c r="E20" s="98">
        <f>MG!J190</f>
        <v>295996.99000000005</v>
      </c>
      <c r="F20" s="99">
        <f t="shared" ca="1" si="0"/>
        <v>9.243342263628021E-2</v>
      </c>
      <c r="G20" s="99"/>
      <c r="H20" s="100"/>
      <c r="I20" s="99"/>
      <c r="J20" s="100"/>
      <c r="K20" s="99"/>
      <c r="L20" s="100"/>
      <c r="M20" s="99"/>
      <c r="N20" s="100"/>
      <c r="O20" s="99"/>
      <c r="P20" s="100"/>
      <c r="Q20" s="99"/>
      <c r="R20" s="100"/>
      <c r="S20" s="99"/>
      <c r="T20" s="100"/>
      <c r="U20" s="99"/>
      <c r="V20" s="100"/>
      <c r="W20" s="99">
        <v>1</v>
      </c>
      <c r="X20" s="100">
        <f>SUM(V20:W20)</f>
        <v>1</v>
      </c>
      <c r="Y20" s="99"/>
      <c r="Z20" s="100"/>
      <c r="AA20" s="99"/>
      <c r="AB20" s="100"/>
      <c r="AC20" s="99"/>
      <c r="AD20" s="100"/>
    </row>
    <row r="21" spans="2:30" ht="28.5" customHeight="1">
      <c r="B21" s="97">
        <v>10</v>
      </c>
      <c r="C21" s="187" t="s">
        <v>406</v>
      </c>
      <c r="D21" s="188"/>
      <c r="E21" s="98">
        <f>MG!J207</f>
        <v>162116.87000000002</v>
      </c>
      <c r="F21" s="99">
        <f t="shared" ca="1" si="0"/>
        <v>5.0625572784307356E-2</v>
      </c>
      <c r="G21" s="99"/>
      <c r="H21" s="100"/>
      <c r="I21" s="99"/>
      <c r="J21" s="100"/>
      <c r="K21" s="99"/>
      <c r="L21" s="100"/>
      <c r="M21" s="99">
        <v>0.6</v>
      </c>
      <c r="N21" s="100">
        <f>SUM(L21:M21)</f>
        <v>0.6</v>
      </c>
      <c r="O21" s="99">
        <v>0.4</v>
      </c>
      <c r="P21" s="100">
        <f>SUM(N21:O21)</f>
        <v>1</v>
      </c>
      <c r="Q21" s="99"/>
      <c r="R21" s="100"/>
      <c r="S21" s="99"/>
      <c r="T21" s="100"/>
      <c r="U21" s="99"/>
      <c r="V21" s="100"/>
      <c r="W21" s="99"/>
      <c r="X21" s="100"/>
      <c r="Y21" s="99"/>
      <c r="Z21" s="100"/>
      <c r="AA21" s="99"/>
      <c r="AB21" s="100"/>
      <c r="AC21" s="99"/>
      <c r="AD21" s="100"/>
    </row>
    <row r="22" spans="2:30" ht="28.5" customHeight="1">
      <c r="B22" s="97">
        <v>11</v>
      </c>
      <c r="C22" s="187" t="s">
        <v>456</v>
      </c>
      <c r="D22" s="188"/>
      <c r="E22" s="98">
        <f>MG!J229</f>
        <v>159998.31000000003</v>
      </c>
      <c r="F22" s="99">
        <f t="shared" ca="1" si="0"/>
        <v>4.996399257073722E-2</v>
      </c>
      <c r="G22" s="99"/>
      <c r="H22" s="100"/>
      <c r="I22" s="99"/>
      <c r="J22" s="100"/>
      <c r="K22" s="99"/>
      <c r="L22" s="100"/>
      <c r="M22" s="99"/>
      <c r="N22" s="100"/>
      <c r="O22" s="99"/>
      <c r="P22" s="100"/>
      <c r="Q22" s="99"/>
      <c r="R22" s="100"/>
      <c r="S22" s="99"/>
      <c r="T22" s="100"/>
      <c r="U22" s="99"/>
      <c r="V22" s="100"/>
      <c r="W22" s="99"/>
      <c r="X22" s="100"/>
      <c r="Y22" s="99">
        <v>1</v>
      </c>
      <c r="Z22" s="100">
        <f>SUM(X22:Y22)</f>
        <v>1</v>
      </c>
      <c r="AA22" s="99"/>
      <c r="AB22" s="100"/>
      <c r="AC22" s="99"/>
      <c r="AD22" s="100"/>
    </row>
    <row r="23" spans="2:30" ht="28.5" customHeight="1">
      <c r="B23" s="97">
        <v>12</v>
      </c>
      <c r="C23" s="187" t="s">
        <v>490</v>
      </c>
      <c r="D23" s="188"/>
      <c r="E23" s="98">
        <f ca="1">MG!J246</f>
        <v>96439.026000000013</v>
      </c>
      <c r="F23" s="99">
        <f t="shared" ca="1" si="0"/>
        <v>3.0115810464455113E-2</v>
      </c>
      <c r="G23" s="99"/>
      <c r="H23" s="100"/>
      <c r="I23" s="99"/>
      <c r="J23" s="100"/>
      <c r="K23" s="99"/>
      <c r="L23" s="100"/>
      <c r="M23" s="99"/>
      <c r="N23" s="100"/>
      <c r="O23" s="99"/>
      <c r="P23" s="100"/>
      <c r="Q23" s="99">
        <v>0.5</v>
      </c>
      <c r="R23" s="100">
        <f>SUM(P23:Q23)</f>
        <v>0.5</v>
      </c>
      <c r="S23" s="99">
        <v>0.5</v>
      </c>
      <c r="T23" s="100">
        <f>SUM(R23:S23)</f>
        <v>1</v>
      </c>
      <c r="U23" s="99"/>
      <c r="V23" s="100"/>
      <c r="W23" s="99"/>
      <c r="X23" s="100"/>
      <c r="Y23" s="99"/>
      <c r="Z23" s="100"/>
      <c r="AA23" s="99"/>
      <c r="AB23" s="100"/>
      <c r="AC23" s="99"/>
      <c r="AD23" s="100"/>
    </row>
    <row r="24" spans="2:30" ht="28.5" customHeight="1">
      <c r="B24" s="97">
        <v>13</v>
      </c>
      <c r="C24" s="187" t="s">
        <v>596</v>
      </c>
      <c r="D24" s="188"/>
      <c r="E24" s="98">
        <f ca="1">MG!J299</f>
        <v>19433.73</v>
      </c>
      <c r="F24" s="99">
        <f t="shared" ca="1" si="0"/>
        <v>6.0687312343593678E-3</v>
      </c>
      <c r="G24" s="99"/>
      <c r="H24" s="100"/>
      <c r="I24" s="99"/>
      <c r="J24" s="100"/>
      <c r="K24" s="99"/>
      <c r="L24" s="100"/>
      <c r="M24" s="99"/>
      <c r="N24" s="100"/>
      <c r="O24" s="99"/>
      <c r="P24" s="100"/>
      <c r="Q24" s="99"/>
      <c r="R24" s="100"/>
      <c r="S24" s="99"/>
      <c r="T24" s="100"/>
      <c r="U24" s="99">
        <v>1</v>
      </c>
      <c r="V24" s="100">
        <f>SUM(T24:U24)</f>
        <v>1</v>
      </c>
      <c r="W24" s="99"/>
      <c r="X24" s="100"/>
      <c r="Y24" s="99"/>
      <c r="Z24" s="100"/>
      <c r="AA24" s="99"/>
      <c r="AB24" s="100"/>
      <c r="AC24" s="99"/>
      <c r="AD24" s="100"/>
    </row>
    <row r="25" spans="2:30" ht="28.5" customHeight="1">
      <c r="B25" s="97">
        <v>14</v>
      </c>
      <c r="C25" s="187" t="s">
        <v>617</v>
      </c>
      <c r="D25" s="188"/>
      <c r="E25" s="98">
        <f ca="1">MG!J310</f>
        <v>73191.882500000007</v>
      </c>
      <c r="F25" s="99">
        <f t="shared" ca="1" si="0"/>
        <v>2.2856233128139111E-2</v>
      </c>
      <c r="G25" s="99"/>
      <c r="H25" s="100"/>
      <c r="I25" s="99"/>
      <c r="J25" s="100"/>
      <c r="K25" s="99"/>
      <c r="L25" s="100"/>
      <c r="M25" s="99"/>
      <c r="N25" s="100"/>
      <c r="O25" s="99"/>
      <c r="P25" s="100"/>
      <c r="Q25" s="99"/>
      <c r="R25" s="100"/>
      <c r="S25" s="99">
        <v>1</v>
      </c>
      <c r="T25" s="100">
        <f>SUM(R25:S25)</f>
        <v>1</v>
      </c>
      <c r="U25" s="99"/>
      <c r="V25" s="100"/>
      <c r="W25" s="99"/>
      <c r="X25" s="100"/>
      <c r="Y25" s="99"/>
      <c r="Z25" s="100"/>
      <c r="AA25" s="99"/>
      <c r="AB25" s="100"/>
      <c r="AC25" s="99"/>
      <c r="AD25" s="100"/>
    </row>
    <row r="26" spans="2:30" ht="28.5" customHeight="1">
      <c r="B26" s="97">
        <v>15</v>
      </c>
      <c r="C26" s="187" t="s">
        <v>689</v>
      </c>
      <c r="D26" s="188"/>
      <c r="E26" s="98">
        <f ca="1">MG!J345</f>
        <v>69646.44</v>
      </c>
      <c r="F26" s="99">
        <f t="shared" ca="1" si="0"/>
        <v>2.1749068541650814E-2</v>
      </c>
      <c r="G26" s="99"/>
      <c r="H26" s="100"/>
      <c r="I26" s="99"/>
      <c r="J26" s="100"/>
      <c r="K26" s="99"/>
      <c r="L26" s="100"/>
      <c r="M26" s="99"/>
      <c r="N26" s="100"/>
      <c r="O26" s="99"/>
      <c r="P26" s="100"/>
      <c r="Q26" s="99"/>
      <c r="R26" s="100"/>
      <c r="S26" s="99">
        <v>1</v>
      </c>
      <c r="T26" s="100">
        <f>SUM(R26:S26)</f>
        <v>1</v>
      </c>
      <c r="U26" s="99"/>
      <c r="V26" s="100"/>
      <c r="W26" s="99"/>
      <c r="X26" s="100"/>
      <c r="Y26" s="99"/>
      <c r="Z26" s="100"/>
      <c r="AA26" s="99"/>
      <c r="AB26" s="100"/>
      <c r="AC26" s="99"/>
      <c r="AD26" s="100"/>
    </row>
    <row r="27" spans="2:30" ht="28.5" customHeight="1">
      <c r="B27" s="97">
        <v>16</v>
      </c>
      <c r="C27" s="189" t="s">
        <v>773</v>
      </c>
      <c r="D27" s="190"/>
      <c r="E27" s="98">
        <f ca="1">MG!J380</f>
        <v>5060.8624999999993</v>
      </c>
      <c r="F27" s="99">
        <f t="shared" ca="1" si="0"/>
        <v>1.5803972951434456E-3</v>
      </c>
      <c r="G27" s="99"/>
      <c r="H27" s="100"/>
      <c r="I27" s="99"/>
      <c r="J27" s="100"/>
      <c r="K27" s="99"/>
      <c r="L27" s="100"/>
      <c r="M27" s="99"/>
      <c r="N27" s="100"/>
      <c r="O27" s="99"/>
      <c r="P27" s="100"/>
      <c r="Q27" s="99"/>
      <c r="R27" s="100"/>
      <c r="S27" s="99"/>
      <c r="T27" s="100"/>
      <c r="U27" s="99"/>
      <c r="V27" s="100"/>
      <c r="W27" s="99"/>
      <c r="X27" s="100"/>
      <c r="Y27" s="99"/>
      <c r="Z27" s="100"/>
      <c r="AA27" s="99"/>
      <c r="AB27" s="100"/>
      <c r="AC27" s="99"/>
      <c r="AD27" s="100"/>
    </row>
    <row r="28" spans="2:30" ht="28.5" customHeight="1">
      <c r="B28" s="97">
        <v>17</v>
      </c>
      <c r="C28" s="189" t="s">
        <v>804</v>
      </c>
      <c r="D28" s="190"/>
      <c r="E28" s="98">
        <f ca="1">MG!J394</f>
        <v>44011.11</v>
      </c>
      <c r="F28" s="99">
        <f t="shared" ca="1" si="0"/>
        <v>1.3743712499650141E-2</v>
      </c>
      <c r="G28" s="99"/>
      <c r="H28" s="100"/>
      <c r="I28" s="99"/>
      <c r="J28" s="100"/>
      <c r="K28" s="99"/>
      <c r="L28" s="100"/>
      <c r="M28" s="99"/>
      <c r="N28" s="100"/>
      <c r="O28" s="99"/>
      <c r="P28" s="100"/>
      <c r="Q28" s="99"/>
      <c r="R28" s="100"/>
      <c r="S28" s="99"/>
      <c r="T28" s="100"/>
      <c r="U28" s="99"/>
      <c r="V28" s="100"/>
      <c r="W28" s="99"/>
      <c r="X28" s="100"/>
      <c r="Y28" s="99"/>
      <c r="Z28" s="100"/>
      <c r="AA28" s="99"/>
      <c r="AB28" s="100"/>
      <c r="AC28" s="99"/>
      <c r="AD28" s="100"/>
    </row>
    <row r="29" spans="2:30" ht="28.5" customHeight="1">
      <c r="B29" s="97">
        <v>18</v>
      </c>
      <c r="C29" s="187" t="s">
        <v>857</v>
      </c>
      <c r="D29" s="188"/>
      <c r="E29" s="98">
        <f ca="1">MG!J420</f>
        <v>233256.82500000001</v>
      </c>
      <c r="F29" s="99">
        <f t="shared" ca="1" si="0"/>
        <v>7.2841033579503126E-2</v>
      </c>
      <c r="G29" s="99"/>
      <c r="H29" s="100"/>
      <c r="I29" s="99"/>
      <c r="J29" s="100"/>
      <c r="K29" s="99"/>
      <c r="L29" s="100"/>
      <c r="M29" s="99"/>
      <c r="N29" s="100"/>
      <c r="O29" s="99"/>
      <c r="P29" s="100"/>
      <c r="Q29" s="99"/>
      <c r="R29" s="100"/>
      <c r="S29" s="99">
        <v>0.7</v>
      </c>
      <c r="T29" s="100">
        <f>SUM(R29:S29)</f>
        <v>0.7</v>
      </c>
      <c r="U29" s="99">
        <v>0.3</v>
      </c>
      <c r="V29" s="100">
        <f>SUM(T29:U29)</f>
        <v>1</v>
      </c>
      <c r="W29" s="99"/>
      <c r="X29" s="100"/>
      <c r="Y29" s="99"/>
      <c r="Z29" s="100"/>
      <c r="AA29" s="99"/>
      <c r="AB29" s="100"/>
      <c r="AC29" s="99"/>
      <c r="AD29" s="100"/>
    </row>
    <row r="30" spans="2:30" ht="28.5" customHeight="1">
      <c r="B30" s="97">
        <v>19</v>
      </c>
      <c r="C30" s="187" t="s">
        <v>986</v>
      </c>
      <c r="D30" s="188"/>
      <c r="E30" s="98">
        <f>MG!J480</f>
        <v>14395.68</v>
      </c>
      <c r="F30" s="99">
        <f t="shared" ca="1" si="0"/>
        <v>4.4954577868398125E-3</v>
      </c>
      <c r="G30" s="99"/>
      <c r="H30" s="100"/>
      <c r="I30" s="99"/>
      <c r="J30" s="100"/>
      <c r="K30" s="99"/>
      <c r="L30" s="100"/>
      <c r="M30" s="99"/>
      <c r="N30" s="100"/>
      <c r="O30" s="99"/>
      <c r="P30" s="100"/>
      <c r="Q30" s="99"/>
      <c r="R30" s="100"/>
      <c r="S30" s="99"/>
      <c r="T30" s="100"/>
      <c r="U30" s="99">
        <v>1</v>
      </c>
      <c r="V30" s="100">
        <f>SUM(T30:U30)</f>
        <v>1</v>
      </c>
      <c r="W30" s="99"/>
      <c r="X30" s="100"/>
      <c r="Y30" s="99"/>
      <c r="Z30" s="100"/>
      <c r="AA30" s="99"/>
      <c r="AB30" s="100"/>
      <c r="AC30" s="99"/>
      <c r="AD30" s="100"/>
    </row>
    <row r="31" spans="2:30" ht="28.5" customHeight="1">
      <c r="B31" s="97">
        <v>20</v>
      </c>
      <c r="C31" s="189" t="s">
        <v>1009</v>
      </c>
      <c r="D31" s="190"/>
      <c r="E31" s="98">
        <f ca="1">MG!J492</f>
        <v>37857.912499999999</v>
      </c>
      <c r="F31" s="99">
        <f t="shared" ca="1" si="0"/>
        <v>1.1822202740101562E-2</v>
      </c>
      <c r="G31" s="99"/>
      <c r="H31" s="100"/>
      <c r="I31" s="99"/>
      <c r="J31" s="100"/>
      <c r="K31" s="99"/>
      <c r="L31" s="100"/>
      <c r="M31" s="99"/>
      <c r="N31" s="100"/>
      <c r="O31" s="99"/>
      <c r="P31" s="100"/>
      <c r="Q31" s="99"/>
      <c r="R31" s="100"/>
      <c r="S31" s="99"/>
      <c r="T31" s="100"/>
      <c r="U31" s="99">
        <v>1</v>
      </c>
      <c r="V31" s="100">
        <f>SUM(T31:U31)</f>
        <v>1</v>
      </c>
      <c r="W31" s="99"/>
      <c r="X31" s="100"/>
      <c r="Y31" s="99"/>
      <c r="Z31" s="100"/>
      <c r="AA31" s="99"/>
      <c r="AB31" s="100"/>
      <c r="AC31" s="99"/>
      <c r="AD31" s="100"/>
    </row>
    <row r="32" spans="2:30" ht="28.5" customHeight="1">
      <c r="B32" s="97">
        <v>21</v>
      </c>
      <c r="C32" s="187" t="s">
        <v>1068</v>
      </c>
      <c r="D32" s="188"/>
      <c r="E32" s="98">
        <f>MG!J518</f>
        <v>11853.369999999999</v>
      </c>
      <c r="F32" s="99">
        <f t="shared" ca="1" si="0"/>
        <v>3.7015496639820713E-3</v>
      </c>
      <c r="G32" s="99"/>
      <c r="H32" s="100"/>
      <c r="I32" s="99"/>
      <c r="J32" s="100"/>
      <c r="K32" s="99"/>
      <c r="L32" s="100"/>
      <c r="M32" s="99"/>
      <c r="N32" s="100"/>
      <c r="O32" s="99"/>
      <c r="P32" s="100"/>
      <c r="Q32" s="99"/>
      <c r="R32" s="100"/>
      <c r="S32" s="99"/>
      <c r="T32" s="100"/>
      <c r="U32" s="99">
        <v>1</v>
      </c>
      <c r="V32" s="100">
        <f>SUM(T32:U32)</f>
        <v>1</v>
      </c>
      <c r="W32" s="99"/>
      <c r="X32" s="100"/>
      <c r="Y32" s="99"/>
      <c r="Z32" s="100"/>
      <c r="AA32" s="99"/>
      <c r="AB32" s="100"/>
      <c r="AC32" s="99"/>
      <c r="AD32" s="100"/>
    </row>
    <row r="33" spans="1:30" ht="31.8" customHeight="1">
      <c r="B33" s="97">
        <v>22</v>
      </c>
      <c r="C33" s="189" t="s">
        <v>1075</v>
      </c>
      <c r="D33" s="190"/>
      <c r="E33" s="98">
        <f ca="1">MG!J521</f>
        <v>49644.88</v>
      </c>
      <c r="F33" s="99">
        <f t="shared" ca="1" si="0"/>
        <v>1.5503016347454796E-2</v>
      </c>
      <c r="G33" s="99"/>
      <c r="H33" s="100"/>
      <c r="I33" s="99"/>
      <c r="J33" s="100"/>
      <c r="K33" s="99"/>
      <c r="L33" s="100"/>
      <c r="M33" s="99"/>
      <c r="N33" s="100"/>
      <c r="O33" s="99"/>
      <c r="P33" s="100"/>
      <c r="Q33" s="99"/>
      <c r="R33" s="100"/>
      <c r="S33" s="99"/>
      <c r="T33" s="100"/>
      <c r="U33" s="99">
        <v>1</v>
      </c>
      <c r="V33" s="100">
        <f>SUM(T33:U33)</f>
        <v>1</v>
      </c>
      <c r="W33" s="99"/>
      <c r="X33" s="100"/>
      <c r="Y33" s="99"/>
      <c r="Z33" s="100"/>
      <c r="AA33" s="99"/>
      <c r="AB33" s="100"/>
      <c r="AC33" s="99"/>
      <c r="AD33" s="100"/>
    </row>
    <row r="34" spans="1:30" ht="28.5" customHeight="1">
      <c r="B34" s="97">
        <v>23</v>
      </c>
      <c r="C34" s="187" t="s">
        <v>1108</v>
      </c>
      <c r="D34" s="188"/>
      <c r="E34" s="98">
        <f ca="1">MG!J537</f>
        <v>86818.564999999988</v>
      </c>
      <c r="F34" s="99">
        <f t="shared" ca="1" si="0"/>
        <v>2.7111549719881823E-2</v>
      </c>
      <c r="G34" s="99"/>
      <c r="H34" s="100"/>
      <c r="I34" s="99"/>
      <c r="J34" s="100"/>
      <c r="K34" s="99"/>
      <c r="L34" s="100"/>
      <c r="M34" s="99"/>
      <c r="N34" s="100"/>
      <c r="O34" s="99"/>
      <c r="P34" s="100"/>
      <c r="Q34" s="99"/>
      <c r="R34" s="100"/>
      <c r="S34" s="99"/>
      <c r="T34" s="100"/>
      <c r="U34" s="99"/>
      <c r="V34" s="100"/>
      <c r="W34" s="99">
        <v>0.2</v>
      </c>
      <c r="X34" s="100">
        <f>SUM(V34:W34)</f>
        <v>0.2</v>
      </c>
      <c r="Y34" s="99">
        <v>0.8</v>
      </c>
      <c r="Z34" s="100">
        <f>SUM(X34:Y34)</f>
        <v>1</v>
      </c>
      <c r="AA34" s="99"/>
      <c r="AB34" s="100"/>
      <c r="AC34" s="99"/>
      <c r="AD34" s="100"/>
    </row>
    <row r="35" spans="1:30" ht="24" customHeight="1">
      <c r="B35" s="97">
        <v>24</v>
      </c>
      <c r="C35" s="191" t="s">
        <v>1134</v>
      </c>
      <c r="D35" s="191"/>
      <c r="E35" s="98">
        <f>MG!J547</f>
        <v>2916.45</v>
      </c>
      <c r="F35" s="99">
        <f t="shared" ca="1" si="0"/>
        <v>9.1074390806331973E-4</v>
      </c>
      <c r="G35" s="99"/>
      <c r="H35" s="100"/>
      <c r="I35" s="99"/>
      <c r="J35" s="100"/>
      <c r="K35" s="99"/>
      <c r="L35" s="100"/>
      <c r="M35" s="99"/>
      <c r="N35" s="100"/>
      <c r="O35" s="99"/>
      <c r="P35" s="100"/>
      <c r="Q35" s="99"/>
      <c r="R35" s="100"/>
      <c r="S35" s="99"/>
      <c r="T35" s="100"/>
      <c r="U35" s="99"/>
      <c r="V35" s="100"/>
      <c r="W35" s="99"/>
      <c r="X35" s="100"/>
      <c r="Y35" s="99">
        <v>1</v>
      </c>
      <c r="Z35" s="100">
        <f>SUM(X35:Y35)</f>
        <v>1</v>
      </c>
      <c r="AA35" s="99"/>
      <c r="AB35" s="100"/>
      <c r="AC35" s="99"/>
      <c r="AD35" s="100"/>
    </row>
    <row r="36" spans="1:30" ht="24.75" customHeight="1" thickBot="1">
      <c r="B36" s="192" t="s">
        <v>1688</v>
      </c>
      <c r="C36" s="192"/>
      <c r="D36" s="192"/>
      <c r="E36" s="98"/>
      <c r="F36" s="102">
        <f ca="1">SUM(F12:F35)</f>
        <v>0.99999999999999978</v>
      </c>
      <c r="G36" s="99">
        <f ca="1">G37/E37</f>
        <v>4.6956023209643108E-2</v>
      </c>
      <c r="H36" s="100">
        <f ca="1">H37/E37</f>
        <v>4.6956023209643108E-2</v>
      </c>
      <c r="I36" s="99">
        <f ca="1">I37/E37</f>
        <v>0.13352968836483234</v>
      </c>
      <c r="J36" s="100">
        <f ca="1">J37/E37</f>
        <v>0.18048571157447543</v>
      </c>
      <c r="K36" s="99">
        <f ca="1">K37/E37</f>
        <v>7.6166239660358015E-2</v>
      </c>
      <c r="L36" s="100">
        <f ca="1">L37/E37</f>
        <v>0.25665195123483348</v>
      </c>
      <c r="M36" s="99">
        <f ca="1">M37/E37</f>
        <v>0.10129952601503255</v>
      </c>
      <c r="N36" s="100">
        <f t="shared" ref="N36:Z36" ca="1" si="1">N37/$E$37</f>
        <v>0.35795147724986603</v>
      </c>
      <c r="O36" s="99">
        <f t="shared" ca="1" si="1"/>
        <v>0.1160622221245086</v>
      </c>
      <c r="P36" s="100">
        <f t="shared" ca="1" si="1"/>
        <v>0.47401369937437465</v>
      </c>
      <c r="Q36" s="99">
        <f t="shared" ca="1" si="1"/>
        <v>0.1108698982430132</v>
      </c>
      <c r="R36" s="100">
        <f t="shared" ca="1" si="1"/>
        <v>0.58488359761738784</v>
      </c>
      <c r="S36" s="99">
        <f t="shared" ca="1" si="1"/>
        <v>0.12447127678231909</v>
      </c>
      <c r="T36" s="100">
        <f t="shared" ca="1" si="1"/>
        <v>0.70935487439970701</v>
      </c>
      <c r="U36" s="99">
        <f t="shared" ca="1" si="1"/>
        <v>7.726261422123798E-2</v>
      </c>
      <c r="V36" s="100">
        <f t="shared" ca="1" si="1"/>
        <v>0.78661748862094505</v>
      </c>
      <c r="W36" s="99">
        <f t="shared" ca="1" si="1"/>
        <v>0.11167507895490598</v>
      </c>
      <c r="X36" s="100">
        <f t="shared" ca="1" si="1"/>
        <v>0.89829256757585096</v>
      </c>
      <c r="Y36" s="99">
        <f t="shared" ca="1" si="1"/>
        <v>0.10338696330486316</v>
      </c>
      <c r="Z36" s="100">
        <f t="shared" ca="1" si="1"/>
        <v>1.001679530880714</v>
      </c>
      <c r="AA36" s="99"/>
      <c r="AB36" s="100"/>
      <c r="AC36" s="99"/>
      <c r="AD36" s="100"/>
    </row>
    <row r="37" spans="1:30" s="107" customFormat="1" ht="23.25" customHeight="1" thickBot="1">
      <c r="A37" s="103"/>
      <c r="B37" s="192" t="s">
        <v>1689</v>
      </c>
      <c r="C37" s="192"/>
      <c r="D37" s="192"/>
      <c r="E37" s="98">
        <f ca="1">SUM(E12:E35)</f>
        <v>3202272.3118750006</v>
      </c>
      <c r="F37" s="104"/>
      <c r="G37" s="105">
        <f ca="1">G13*E13+G12*E12+G14*E14</f>
        <v>150365.97300000003</v>
      </c>
      <c r="H37" s="106">
        <f ca="1">G37</f>
        <v>150365.97300000003</v>
      </c>
      <c r="I37" s="105">
        <f ca="1">I12*E12+I14*E14+I15*E15+I19*E19</f>
        <v>427598.42386400001</v>
      </c>
      <c r="J37" s="106">
        <f ca="1">I37+H37</f>
        <v>577964.39686400001</v>
      </c>
      <c r="K37" s="105">
        <f ca="1">K12*E12+K15*E15+K16*E16</f>
        <v>243905.04036400001</v>
      </c>
      <c r="L37" s="106">
        <f ca="1">K37+J37</f>
        <v>821869.43722800002</v>
      </c>
      <c r="M37" s="105">
        <f ca="1">M12*E12+M16*E16+M21*E21</f>
        <v>324388.66736400005</v>
      </c>
      <c r="N37" s="106">
        <f ca="1">M37+L37</f>
        <v>1146258.1045920001</v>
      </c>
      <c r="O37" s="105">
        <f ca="1">O12*E12+O17*E17+O18*E18+O21*E21</f>
        <v>371662.840364</v>
      </c>
      <c r="P37" s="106">
        <f ca="1">O37+N37</f>
        <v>1517920.9449560002</v>
      </c>
      <c r="Q37" s="105">
        <f ca="1">Q12*E12+Q17*E17+Q18*E18+Q23*E23</f>
        <v>355035.60536399996</v>
      </c>
      <c r="R37" s="106">
        <f ca="1">Q37+P37</f>
        <v>1872956.5503200002</v>
      </c>
      <c r="S37" s="105">
        <f ca="1">S12*E12+S23*E23+S25*E25+S26*E26+S29*E29</f>
        <v>398590.92326375004</v>
      </c>
      <c r="T37" s="106">
        <f ca="1">S37+R37</f>
        <v>2271547.4735837504</v>
      </c>
      <c r="U37" s="105">
        <f ca="1">U12*E12+U24*E24+U30*E30+U31*E31+U32*E32+U33*E33+U29*E29</f>
        <v>247415.93026375002</v>
      </c>
      <c r="V37" s="106">
        <f ca="1">U37+T37</f>
        <v>2518963.4038475007</v>
      </c>
      <c r="W37" s="105">
        <f ca="1">W12*E12+W20*E20+W34*E34</f>
        <v>357614.01326375001</v>
      </c>
      <c r="X37" s="106">
        <f ca="1">W37+V37</f>
        <v>2876577.4171112506</v>
      </c>
      <c r="Y37" s="105">
        <v>331073.21000000002</v>
      </c>
      <c r="Z37" s="106">
        <f ca="1">Y37+X37</f>
        <v>3207650.6271112505</v>
      </c>
      <c r="AA37" s="105"/>
      <c r="AB37" s="106"/>
      <c r="AC37" s="105"/>
      <c r="AD37" s="106"/>
    </row>
    <row r="38" spans="1:30" ht="24.75" customHeight="1">
      <c r="B38" s="192" t="s">
        <v>1690</v>
      </c>
      <c r="C38" s="192"/>
      <c r="D38" s="192"/>
      <c r="E38" s="108"/>
      <c r="F38" s="102"/>
      <c r="G38" s="105">
        <f ca="1">G37*F38</f>
        <v>0</v>
      </c>
      <c r="H38" s="106">
        <f ca="1">G38</f>
        <v>0</v>
      </c>
      <c r="I38" s="105">
        <f ca="1">I37*F38</f>
        <v>0</v>
      </c>
      <c r="J38" s="106">
        <f ca="1">I38+H38</f>
        <v>0</v>
      </c>
      <c r="K38" s="105">
        <f ca="1">I38</f>
        <v>0</v>
      </c>
      <c r="L38" s="106">
        <f ca="1">K38+J38</f>
        <v>0</v>
      </c>
      <c r="M38" s="105">
        <f ca="1">K38</f>
        <v>0</v>
      </c>
      <c r="N38" s="106">
        <f ca="1">M38+L38</f>
        <v>0</v>
      </c>
      <c r="O38" s="105"/>
      <c r="P38" s="106"/>
      <c r="Q38" s="105"/>
      <c r="R38" s="106"/>
      <c r="S38" s="105"/>
      <c r="T38" s="106"/>
      <c r="U38" s="105"/>
      <c r="V38" s="106"/>
      <c r="W38" s="105"/>
      <c r="X38" s="106"/>
      <c r="Y38" s="105"/>
      <c r="Z38" s="106"/>
      <c r="AA38" s="105"/>
      <c r="AB38" s="106"/>
      <c r="AC38" s="105"/>
      <c r="AD38" s="106"/>
    </row>
    <row r="39" spans="1:30" ht="23.25" customHeight="1">
      <c r="B39" s="192" t="s">
        <v>1691</v>
      </c>
      <c r="C39" s="192"/>
      <c r="D39" s="192"/>
      <c r="E39" s="108"/>
      <c r="F39" s="102"/>
      <c r="G39" s="105">
        <f ca="1">G37*F39</f>
        <v>0</v>
      </c>
      <c r="H39" s="106">
        <f ca="1">G39</f>
        <v>0</v>
      </c>
      <c r="I39" s="105">
        <f ca="1">I37*F39</f>
        <v>0</v>
      </c>
      <c r="J39" s="106">
        <f ca="1">I39+H39</f>
        <v>0</v>
      </c>
      <c r="K39" s="105">
        <f ca="1">I39</f>
        <v>0</v>
      </c>
      <c r="L39" s="106">
        <f ca="1">K39+J39</f>
        <v>0</v>
      </c>
      <c r="M39" s="105">
        <f ca="1">K39</f>
        <v>0</v>
      </c>
      <c r="N39" s="106">
        <f ca="1">M39+L39</f>
        <v>0</v>
      </c>
      <c r="O39" s="105"/>
      <c r="P39" s="106"/>
      <c r="Q39" s="105"/>
      <c r="R39" s="106"/>
      <c r="S39" s="105"/>
      <c r="T39" s="106"/>
      <c r="U39" s="105"/>
      <c r="V39" s="106"/>
      <c r="W39" s="105"/>
      <c r="X39" s="106"/>
      <c r="Y39" s="105"/>
      <c r="Z39" s="106"/>
      <c r="AA39" s="105"/>
      <c r="AB39" s="106"/>
      <c r="AC39" s="105"/>
      <c r="AD39" s="106"/>
    </row>
    <row r="40" spans="1:30" ht="11.25" customHeight="1">
      <c r="F40" s="71"/>
    </row>
    <row r="41" spans="1:30" ht="57" customHeight="1">
      <c r="G41" s="75" t="s">
        <v>1699</v>
      </c>
    </row>
    <row r="42" spans="1:30" ht="16.5" customHeight="1">
      <c r="C42" s="109"/>
      <c r="G42" s="186" t="s">
        <v>1700</v>
      </c>
      <c r="H42" s="186"/>
      <c r="I42" s="186"/>
      <c r="J42" s="186"/>
      <c r="K42" s="186"/>
      <c r="L42" s="186"/>
    </row>
  </sheetData>
  <mergeCells count="50">
    <mergeCell ref="C33:D33"/>
    <mergeCell ref="C34:D34"/>
    <mergeCell ref="M10:N10"/>
    <mergeCell ref="O10:P10"/>
    <mergeCell ref="Q10:R10"/>
    <mergeCell ref="C27:D27"/>
    <mergeCell ref="C28:D28"/>
    <mergeCell ref="C29:D29"/>
    <mergeCell ref="C30:D30"/>
    <mergeCell ref="C31:D31"/>
    <mergeCell ref="C32:D32"/>
    <mergeCell ref="C13:D13"/>
    <mergeCell ref="C24:D24"/>
    <mergeCell ref="C25:D25"/>
    <mergeCell ref="C26:D26"/>
    <mergeCell ref="C12:D12"/>
    <mergeCell ref="G42:L4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B36:D36"/>
    <mergeCell ref="B37:D37"/>
    <mergeCell ref="B38:D38"/>
    <mergeCell ref="B39:D39"/>
    <mergeCell ref="C23:D23"/>
    <mergeCell ref="B9:B11"/>
    <mergeCell ref="C9:D11"/>
    <mergeCell ref="E9:E11"/>
    <mergeCell ref="F9:F10"/>
    <mergeCell ref="G9:AD9"/>
    <mergeCell ref="U10:V10"/>
    <mergeCell ref="W10:X10"/>
    <mergeCell ref="Y10:Z10"/>
    <mergeCell ref="AA10:AB10"/>
    <mergeCell ref="AC10:AD10"/>
    <mergeCell ref="S10:T10"/>
    <mergeCell ref="D2:AB2"/>
    <mergeCell ref="L8:AD8"/>
    <mergeCell ref="G4:J4"/>
    <mergeCell ref="D6:K6"/>
    <mergeCell ref="L6:AD6"/>
    <mergeCell ref="J7:K7"/>
    <mergeCell ref="L7:AD7"/>
  </mergeCells>
  <phoneticPr fontId="30" type="noConversion"/>
  <printOptions horizontalCentered="1"/>
  <pageMargins left="0.19685039370078741" right="0.19685039370078741" top="0.6692913385826772" bottom="0.39370078740157483" header="0.55118110236220474" footer="0.51181102362204722"/>
  <pageSetup paperSize="9" scale="38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0A75-0354-49B2-BB52-37AB7A58F887}">
  <sheetPr codeName="Plan4">
    <pageSetUpPr fitToPage="1"/>
  </sheetPr>
  <dimension ref="A1:Z146"/>
  <sheetViews>
    <sheetView showGridLines="0" topLeftCell="H1" zoomScale="90" zoomScaleNormal="90" zoomScaleSheetLayoutView="100" workbookViewId="0">
      <pane ySplit="11" topLeftCell="A15" activePane="bottomLeft" state="frozen"/>
      <selection activeCell="E1" sqref="E1"/>
      <selection pane="bottomLeft" activeCell="J10" sqref="J10:Q10"/>
    </sheetView>
  </sheetViews>
  <sheetFormatPr defaultRowHeight="13.8"/>
  <cols>
    <col min="1" max="4" width="5.09765625" style="37" hidden="1" customWidth="1"/>
    <col min="5" max="5" width="10.19921875" style="37" hidden="1" customWidth="1"/>
    <col min="6" max="6" width="10.296875" style="37" hidden="1" customWidth="1"/>
    <col min="7" max="7" width="10.69921875" style="37" hidden="1" customWidth="1"/>
    <col min="8" max="8" width="9.59765625" style="39" customWidth="1"/>
    <col min="9" max="9" width="3.296875" style="39" customWidth="1"/>
    <col min="10" max="15" width="9.59765625" style="37" customWidth="1"/>
    <col min="16" max="16" width="11.59765625" style="37" customWidth="1"/>
    <col min="17" max="19" width="9.59765625" style="37" customWidth="1"/>
    <col min="20" max="16384" width="8.796875" style="39"/>
  </cols>
  <sheetData>
    <row r="1" spans="1:19" ht="15.6">
      <c r="E1" s="38" t="s">
        <v>1597</v>
      </c>
      <c r="F1" s="38" t="s">
        <v>1598</v>
      </c>
      <c r="G1" s="38" t="s">
        <v>1599</v>
      </c>
      <c r="O1" s="40" t="str">
        <f>"Quadro de Composição do BDI"</f>
        <v>Quadro de Composição do BDI</v>
      </c>
      <c r="R1" s="200" t="s">
        <v>1600</v>
      </c>
      <c r="S1" s="200"/>
    </row>
    <row r="2" spans="1:19">
      <c r="A2" s="37" t="s">
        <v>1601</v>
      </c>
      <c r="B2" s="41" t="s">
        <v>1602</v>
      </c>
      <c r="C2" s="37" t="str">
        <f t="shared" ref="C2:C49" si="0">CONCATENATE(A2,"-",B2)</f>
        <v>Construção e Reforma de Edifícios-AC</v>
      </c>
      <c r="E2" s="42">
        <v>0.03</v>
      </c>
      <c r="F2" s="42">
        <v>0.04</v>
      </c>
      <c r="G2" s="42">
        <v>5.5E-2</v>
      </c>
      <c r="R2" s="201" t="s">
        <v>1603</v>
      </c>
      <c r="S2" s="201"/>
    </row>
    <row r="3" spans="1:19">
      <c r="A3" s="37" t="str">
        <f>A2</f>
        <v>Construção e Reforma de Edifícios</v>
      </c>
      <c r="B3" s="41" t="s">
        <v>1604</v>
      </c>
      <c r="C3" s="37" t="str">
        <f t="shared" si="0"/>
        <v>Construção e Reforma de Edifícios-SG</v>
      </c>
      <c r="E3" s="42">
        <v>8.0000000000000002E-3</v>
      </c>
      <c r="F3" s="42">
        <v>8.0000000000000002E-3</v>
      </c>
      <c r="G3" s="42">
        <v>0.01</v>
      </c>
    </row>
    <row r="4" spans="1:19">
      <c r="A4" s="37" t="str">
        <f>A3</f>
        <v>Construção e Reforma de Edifícios</v>
      </c>
      <c r="B4" s="41" t="s">
        <v>1605</v>
      </c>
      <c r="C4" s="37" t="str">
        <f t="shared" si="0"/>
        <v>Construção e Reforma de Edifícios-R</v>
      </c>
      <c r="E4" s="42">
        <v>9.7000000000000003E-3</v>
      </c>
      <c r="F4" s="42">
        <v>1.2699999999999999E-2</v>
      </c>
      <c r="G4" s="42">
        <v>1.2699999999999999E-2</v>
      </c>
      <c r="J4" s="195" t="s">
        <v>1606</v>
      </c>
      <c r="K4" s="195"/>
      <c r="L4" s="195" t="s">
        <v>1660</v>
      </c>
      <c r="M4" s="195"/>
      <c r="N4" s="195" t="s">
        <v>1607</v>
      </c>
      <c r="O4" s="195"/>
      <c r="P4" s="195"/>
      <c r="Q4" s="195"/>
      <c r="R4" s="195"/>
      <c r="S4" s="195"/>
    </row>
    <row r="5" spans="1:19" ht="12.75" customHeight="1">
      <c r="A5" s="37" t="str">
        <f>A4</f>
        <v>Construção e Reforma de Edifícios</v>
      </c>
      <c r="B5" s="41" t="s">
        <v>1608</v>
      </c>
      <c r="C5" s="37" t="str">
        <f t="shared" si="0"/>
        <v>Construção e Reforma de Edifícios-DF</v>
      </c>
      <c r="E5" s="42">
        <v>5.8999999999999999E-3</v>
      </c>
      <c r="F5" s="42">
        <v>1.23E-2</v>
      </c>
      <c r="G5" s="42">
        <v>1.3899999999999999E-2</v>
      </c>
      <c r="J5" s="202" t="str">
        <f>Import.CR</f>
        <v>1094382-79</v>
      </c>
      <c r="K5" s="202"/>
      <c r="L5" s="202" t="str">
        <f>Import.TransfereGOV</f>
        <v>960684/2024</v>
      </c>
      <c r="M5" s="202"/>
      <c r="N5" s="202" t="str">
        <f>Import.Proponente</f>
        <v>Prefeitura De São João Das Missões - MG</v>
      </c>
      <c r="O5" s="202"/>
      <c r="P5" s="202"/>
      <c r="Q5" s="202"/>
      <c r="R5" s="202"/>
      <c r="S5" s="202"/>
    </row>
    <row r="6" spans="1:19">
      <c r="A6" s="37" t="str">
        <f>A5</f>
        <v>Construção e Reforma de Edifícios</v>
      </c>
      <c r="B6" s="41" t="s">
        <v>1609</v>
      </c>
      <c r="C6" s="37" t="str">
        <f t="shared" si="0"/>
        <v>Construção e Reforma de Edifícios-L</v>
      </c>
      <c r="E6" s="42">
        <v>6.1600000000000002E-2</v>
      </c>
      <c r="F6" s="42">
        <v>7.400000000000001E-2</v>
      </c>
      <c r="G6" s="42">
        <v>8.9600000000000013E-2</v>
      </c>
      <c r="I6" s="194" t="s">
        <v>1610</v>
      </c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6.4">
      <c r="A7" s="37" t="str">
        <f>A6</f>
        <v>Construção e Reforma de Edifícios</v>
      </c>
      <c r="B7" s="44" t="s">
        <v>1611</v>
      </c>
      <c r="C7" s="37" t="str">
        <f t="shared" si="0"/>
        <v>Construção e Reforma de Edifícios-BDI PAD</v>
      </c>
      <c r="E7" s="42">
        <v>0.2034</v>
      </c>
      <c r="F7" s="42">
        <v>0.22120000000000001</v>
      </c>
      <c r="G7" s="42">
        <v>0.25</v>
      </c>
      <c r="I7" s="194"/>
      <c r="J7" s="195" t="s">
        <v>1612</v>
      </c>
      <c r="K7" s="195"/>
      <c r="L7" s="195"/>
      <c r="M7" s="195"/>
      <c r="N7" s="195"/>
      <c r="O7" s="195"/>
      <c r="P7" s="195"/>
      <c r="Q7" s="195"/>
      <c r="R7" s="195"/>
      <c r="S7" s="195"/>
    </row>
    <row r="8" spans="1:19">
      <c r="A8" s="37" t="s">
        <v>1613</v>
      </c>
      <c r="B8" s="41" t="s">
        <v>1602</v>
      </c>
      <c r="C8" s="37" t="str">
        <f t="shared" si="0"/>
        <v>Construção de Praças Urbanas, Rodovias, Ferrovias e recapeamento e pavimentação de vias urbanas-AC</v>
      </c>
      <c r="E8" s="42">
        <v>3.7999999999999999E-2</v>
      </c>
      <c r="F8" s="42">
        <v>4.0099999999999997E-2</v>
      </c>
      <c r="G8" s="42">
        <v>4.6699999999999998E-2</v>
      </c>
      <c r="I8" s="194"/>
      <c r="J8" s="196" t="str">
        <f>Import.Apelido&amp;" / "&amp;Import.DescLote</f>
        <v xml:space="preserve">Creche Tipo 2 - opção 220V / Construção de uma Creche Tipo 2 - opção 220V </v>
      </c>
      <c r="K8" s="196"/>
      <c r="L8" s="196"/>
      <c r="M8" s="196"/>
      <c r="N8" s="196"/>
      <c r="O8" s="196"/>
      <c r="P8" s="196"/>
      <c r="Q8" s="196"/>
      <c r="R8" s="196"/>
      <c r="S8" s="196"/>
    </row>
    <row r="9" spans="1:19">
      <c r="A9" s="37" t="s">
        <v>1613</v>
      </c>
      <c r="B9" s="41" t="s">
        <v>1604</v>
      </c>
      <c r="C9" s="37" t="str">
        <f t="shared" si="0"/>
        <v>Construção de Praças Urbanas, Rodovias, Ferrovias e recapeamento e pavimentação de vias urbanas-SG</v>
      </c>
      <c r="E9" s="42">
        <v>3.2000000000000002E-3</v>
      </c>
      <c r="F9" s="42">
        <v>4.0000000000000001E-3</v>
      </c>
      <c r="G9" s="42">
        <v>7.4000000000000003E-3</v>
      </c>
      <c r="I9" s="194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2.75" customHeight="1">
      <c r="A10" s="37" t="s">
        <v>1613</v>
      </c>
      <c r="B10" s="41" t="s">
        <v>1605</v>
      </c>
      <c r="C10" s="37" t="str">
        <f t="shared" si="0"/>
        <v>Construção de Praças Urbanas, Rodovias, Ferrovias e recapeamento e pavimentação de vias urbanas-R</v>
      </c>
      <c r="E10" s="42">
        <v>5.0000000000000001E-3</v>
      </c>
      <c r="F10" s="42">
        <v>5.6000000000000008E-3</v>
      </c>
      <c r="G10" s="42">
        <v>9.7000000000000003E-3</v>
      </c>
      <c r="I10" s="194"/>
      <c r="J10" s="197" t="s">
        <v>1614</v>
      </c>
      <c r="K10" s="197"/>
      <c r="L10" s="197"/>
      <c r="M10" s="197"/>
      <c r="N10" s="197"/>
      <c r="O10" s="197"/>
      <c r="P10" s="197"/>
      <c r="Q10" s="197"/>
      <c r="R10" s="198">
        <v>1</v>
      </c>
      <c r="S10" s="198"/>
    </row>
    <row r="11" spans="1:19" ht="12.75" customHeight="1">
      <c r="A11" s="37" t="s">
        <v>1613</v>
      </c>
      <c r="B11" s="41" t="s">
        <v>1608</v>
      </c>
      <c r="C11" s="37" t="str">
        <f t="shared" si="0"/>
        <v>Construção de Praças Urbanas, Rodovias, Ferrovias e recapeamento e pavimentação de vias urbanas-DF</v>
      </c>
      <c r="E11" s="42">
        <v>1.0200000000000001E-2</v>
      </c>
      <c r="F11" s="42">
        <v>1.11E-2</v>
      </c>
      <c r="G11" s="42">
        <v>1.21E-2</v>
      </c>
      <c r="I11" s="45" t="s">
        <v>1615</v>
      </c>
      <c r="J11" s="199" t="s">
        <v>1616</v>
      </c>
      <c r="K11" s="199"/>
      <c r="L11" s="199"/>
      <c r="M11" s="199"/>
      <c r="N11" s="199"/>
      <c r="O11" s="199"/>
      <c r="P11" s="199"/>
      <c r="Q11" s="199"/>
      <c r="R11" s="198">
        <v>0.05</v>
      </c>
      <c r="S11" s="198"/>
    </row>
    <row r="12" spans="1:19">
      <c r="A12" s="37" t="s">
        <v>1613</v>
      </c>
      <c r="B12" s="41" t="s">
        <v>1609</v>
      </c>
      <c r="C12" s="37" t="str">
        <f t="shared" si="0"/>
        <v>Construção de Praças Urbanas, Rodovias, Ferrovias e recapeamento e pavimentação de vias urbanas-L</v>
      </c>
      <c r="E12" s="42">
        <v>6.6400000000000001E-2</v>
      </c>
      <c r="F12" s="42">
        <v>7.2999999999999995E-2</v>
      </c>
      <c r="G12" s="42">
        <v>8.6899999999999991E-2</v>
      </c>
      <c r="I12" s="39" t="s">
        <v>1617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6.4">
      <c r="A13" s="37" t="s">
        <v>1613</v>
      </c>
      <c r="B13" s="44" t="s">
        <v>1611</v>
      </c>
      <c r="C13" s="37" t="str">
        <f t="shared" si="0"/>
        <v>Construção de Praças Urbanas, Rodovias, Ferrovias e recapeamento e pavimentação de vias urbanas-BDI PAD</v>
      </c>
      <c r="E13" s="42">
        <v>0.19600000000000001</v>
      </c>
      <c r="F13" s="42">
        <v>0.2097</v>
      </c>
      <c r="G13" s="42">
        <v>0.24230000000000002</v>
      </c>
      <c r="I13" s="39" t="s">
        <v>1617</v>
      </c>
    </row>
    <row r="14" spans="1:19" ht="15.6">
      <c r="A14" s="37" t="s">
        <v>1618</v>
      </c>
      <c r="B14" s="41" t="s">
        <v>1602</v>
      </c>
      <c r="C14" s="37" t="str">
        <f t="shared" si="0"/>
        <v>Construção de Redes de Abastecimento de Água, Coleta de Esgoto-AC</v>
      </c>
      <c r="E14" s="42">
        <v>3.4300000000000004E-2</v>
      </c>
      <c r="F14" s="42">
        <v>4.9299999999999997E-2</v>
      </c>
      <c r="G14" s="42">
        <v>6.7099999999999993E-2</v>
      </c>
      <c r="I14" s="39" t="s">
        <v>1617</v>
      </c>
      <c r="J14" s="206" t="s">
        <v>1619</v>
      </c>
      <c r="K14" s="206"/>
      <c r="L14" s="206"/>
      <c r="M14" s="206"/>
      <c r="N14" s="206"/>
      <c r="O14" s="206"/>
      <c r="P14" s="206"/>
      <c r="Q14" s="206"/>
      <c r="R14" s="206"/>
      <c r="S14" s="206"/>
    </row>
    <row r="15" spans="1:19">
      <c r="A15" s="37" t="str">
        <f>A14</f>
        <v>Construção de Redes de Abastecimento de Água, Coleta de Esgoto</v>
      </c>
      <c r="B15" s="41" t="s">
        <v>1604</v>
      </c>
      <c r="C15" s="37" t="str">
        <f t="shared" si="0"/>
        <v>Construção de Redes de Abastecimento de Água, Coleta de Esgoto-SG</v>
      </c>
      <c r="E15" s="42">
        <v>2.8000000000000004E-3</v>
      </c>
      <c r="F15" s="42">
        <v>4.8999999999999998E-3</v>
      </c>
      <c r="G15" s="42">
        <v>7.4999999999999997E-3</v>
      </c>
      <c r="I15" s="39" t="s">
        <v>1617</v>
      </c>
    </row>
    <row r="16" spans="1:19">
      <c r="A16" s="37" t="str">
        <f>A15</f>
        <v>Construção de Redes de Abastecimento de Água, Coleta de Esgoto</v>
      </c>
      <c r="B16" s="41" t="s">
        <v>1605</v>
      </c>
      <c r="C16" s="37" t="str">
        <f t="shared" si="0"/>
        <v>Construção de Redes de Abastecimento de Água, Coleta de Esgoto-R</v>
      </c>
      <c r="E16" s="42">
        <v>0.01</v>
      </c>
      <c r="F16" s="42">
        <v>1.3899999999999999E-2</v>
      </c>
      <c r="G16" s="42">
        <v>1.7399999999999999E-2</v>
      </c>
      <c r="I16" s="39" t="s">
        <v>1617</v>
      </c>
      <c r="J16" s="195" t="s">
        <v>1620</v>
      </c>
      <c r="K16" s="195"/>
      <c r="L16" s="195"/>
      <c r="M16" s="195"/>
      <c r="N16" s="195"/>
      <c r="O16" s="195"/>
      <c r="P16" s="195"/>
      <c r="Q16" s="195"/>
      <c r="R16" s="195"/>
      <c r="S16" s="195"/>
    </row>
    <row r="17" spans="1:26">
      <c r="A17" s="37" t="str">
        <f>A16</f>
        <v>Construção de Redes de Abastecimento de Água, Coleta de Esgoto</v>
      </c>
      <c r="B17" s="41" t="s">
        <v>1608</v>
      </c>
      <c r="C17" s="37" t="str">
        <f t="shared" si="0"/>
        <v>Construção de Redes de Abastecimento de Água, Coleta de Esgoto-DF</v>
      </c>
      <c r="E17" s="42">
        <v>9.3999999999999986E-3</v>
      </c>
      <c r="F17" s="42">
        <v>9.8999999999999991E-3</v>
      </c>
      <c r="G17" s="42">
        <v>1.1699999999999999E-2</v>
      </c>
      <c r="I17" s="39" t="s">
        <v>1617</v>
      </c>
      <c r="J17" s="207" t="s">
        <v>1601</v>
      </c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26">
      <c r="A18" s="37" t="str">
        <f>A17</f>
        <v>Construção de Redes de Abastecimento de Água, Coleta de Esgoto</v>
      </c>
      <c r="B18" s="41" t="s">
        <v>1609</v>
      </c>
      <c r="C18" s="37" t="str">
        <f t="shared" si="0"/>
        <v>Construção de Redes de Abastecimento de Água, Coleta de Esgoto-L</v>
      </c>
      <c r="E18" s="42">
        <v>6.7400000000000002E-2</v>
      </c>
      <c r="F18" s="42">
        <v>8.0399999999999985E-2</v>
      </c>
      <c r="G18" s="42">
        <v>9.4E-2</v>
      </c>
      <c r="I18" s="39" t="s">
        <v>1617</v>
      </c>
    </row>
    <row r="19" spans="1:26" ht="12.75" customHeight="1">
      <c r="A19" s="37" t="str">
        <f>A18</f>
        <v>Construção de Redes de Abastecimento de Água, Coleta de Esgoto</v>
      </c>
      <c r="B19" s="44" t="s">
        <v>1611</v>
      </c>
      <c r="C19" s="37" t="str">
        <f t="shared" si="0"/>
        <v>Construção de Redes de Abastecimento de Água, Coleta de Esgoto-BDI PAD</v>
      </c>
      <c r="E19" s="42">
        <v>0.20760000000000001</v>
      </c>
      <c r="F19" s="42">
        <v>0.24179999999999999</v>
      </c>
      <c r="G19" s="42">
        <v>0.26440000000000002</v>
      </c>
      <c r="I19" s="39" t="s">
        <v>1617</v>
      </c>
      <c r="J19" s="208" t="s">
        <v>1621</v>
      </c>
      <c r="K19" s="208"/>
      <c r="L19" s="208"/>
      <c r="M19" s="208"/>
      <c r="N19" s="208"/>
      <c r="O19" s="208"/>
      <c r="P19" s="208"/>
      <c r="Q19" s="208"/>
      <c r="R19" s="208" t="s">
        <v>1622</v>
      </c>
      <c r="S19" s="209" t="s">
        <v>1623</v>
      </c>
      <c r="U19" s="209" t="s">
        <v>1624</v>
      </c>
      <c r="V19" s="209"/>
      <c r="W19" s="209"/>
      <c r="X19" s="203" t="s">
        <v>1625</v>
      </c>
      <c r="Y19" s="203" t="s">
        <v>1626</v>
      </c>
      <c r="Z19" s="203" t="s">
        <v>1627</v>
      </c>
    </row>
    <row r="20" spans="1:26" ht="12.75" customHeight="1">
      <c r="A20" s="37" t="s">
        <v>1628</v>
      </c>
      <c r="B20" s="41" t="s">
        <v>1602</v>
      </c>
      <c r="C20" s="37" t="str">
        <f t="shared" si="0"/>
        <v>Construção e Manutenção de Estações e Redes de Distribuição de Energia Elétrica-AC</v>
      </c>
      <c r="E20" s="42">
        <v>5.2900000000000003E-2</v>
      </c>
      <c r="F20" s="42">
        <v>5.9200000000000003E-2</v>
      </c>
      <c r="G20" s="42">
        <v>7.9299999999999995E-2</v>
      </c>
      <c r="I20" s="39" t="s">
        <v>1617</v>
      </c>
      <c r="J20" s="208"/>
      <c r="K20" s="208"/>
      <c r="L20" s="208"/>
      <c r="M20" s="208"/>
      <c r="N20" s="208"/>
      <c r="O20" s="208"/>
      <c r="P20" s="208"/>
      <c r="Q20" s="208"/>
      <c r="R20" s="208"/>
      <c r="S20" s="209"/>
      <c r="U20" s="209"/>
      <c r="V20" s="209"/>
      <c r="W20" s="209"/>
      <c r="X20" s="203"/>
      <c r="Y20" s="203"/>
      <c r="Z20" s="203"/>
    </row>
    <row r="21" spans="1:26" ht="15" customHeight="1">
      <c r="A21" s="37" t="str">
        <f>A20</f>
        <v>Construção e Manutenção de Estações e Redes de Distribuição de Energia Elétrica</v>
      </c>
      <c r="B21" s="41" t="s">
        <v>1604</v>
      </c>
      <c r="C21" s="37" t="str">
        <f t="shared" si="0"/>
        <v>Construção e Manutenção de Estações e Redes de Distribuição de Energia Elétrica-SG</v>
      </c>
      <c r="E21" s="42">
        <v>2.5000000000000001E-3</v>
      </c>
      <c r="F21" s="42">
        <v>5.1000000000000004E-3</v>
      </c>
      <c r="G21" s="42">
        <v>5.6000000000000008E-3</v>
      </c>
      <c r="I21" s="39" t="s">
        <v>1617</v>
      </c>
      <c r="J21" s="204" t="str">
        <f>IF($J$17=$A$146,"Encargos Sociais incidentes sobre a mão de obra","Administração Central")</f>
        <v>Administração Central</v>
      </c>
      <c r="K21" s="204"/>
      <c r="L21" s="204"/>
      <c r="M21" s="204"/>
      <c r="N21" s="204"/>
      <c r="O21" s="204"/>
      <c r="P21" s="204"/>
      <c r="Q21" s="204"/>
      <c r="R21" s="47" t="str">
        <f>IF($J17=$A$146,"K1","AC")</f>
        <v>AC</v>
      </c>
      <c r="S21" s="48">
        <v>0.04</v>
      </c>
      <c r="U21" s="205" t="s">
        <v>1629</v>
      </c>
      <c r="V21" s="205"/>
      <c r="W21" s="205"/>
      <c r="X21" s="49">
        <f>VLOOKUP(CONCATENATE(J17,"-",R21),$C$2:$G$136,3,FALSE)</f>
        <v>0.03</v>
      </c>
      <c r="Y21" s="49">
        <f>VLOOKUP(CONCATENATE(J17,"-",R21),$C$2:$G$136,4,FALSE)</f>
        <v>0.04</v>
      </c>
      <c r="Z21" s="49">
        <f>VLOOKUP(CONCATENATE(J17,"-",R21),$C$2:$G$136,5,FALSE)</f>
        <v>5.5E-2</v>
      </c>
    </row>
    <row r="22" spans="1:26" ht="15" customHeight="1">
      <c r="A22" s="37" t="str">
        <f>A21</f>
        <v>Construção e Manutenção de Estações e Redes de Distribuição de Energia Elétrica</v>
      </c>
      <c r="B22" s="41" t="s">
        <v>1605</v>
      </c>
      <c r="C22" s="37" t="str">
        <f t="shared" si="0"/>
        <v>Construção e Manutenção de Estações e Redes de Distribuição de Energia Elétrica-R</v>
      </c>
      <c r="E22" s="42">
        <v>0.01</v>
      </c>
      <c r="F22" s="42">
        <v>1.4800000000000001E-2</v>
      </c>
      <c r="G22" s="42">
        <v>1.9699999999999999E-2</v>
      </c>
      <c r="I22" s="39" t="s">
        <v>1617</v>
      </c>
      <c r="J22" s="204" t="str">
        <f>IF($J$17=$A$146,"Administração Central da empresa ou consultoria - overhead","Seguro e Garantia")</f>
        <v>Seguro e Garantia</v>
      </c>
      <c r="K22" s="204"/>
      <c r="L22" s="204"/>
      <c r="M22" s="204"/>
      <c r="N22" s="204"/>
      <c r="O22" s="204"/>
      <c r="P22" s="204"/>
      <c r="Q22" s="204"/>
      <c r="R22" s="47" t="str">
        <f>IF($J17=$A$146,"K2","SG")</f>
        <v>SG</v>
      </c>
      <c r="S22" s="48">
        <v>8.0000000000000002E-3</v>
      </c>
      <c r="U22" s="205" t="s">
        <v>1629</v>
      </c>
      <c r="V22" s="205"/>
      <c r="W22" s="205"/>
      <c r="X22" s="49">
        <f>VLOOKUP(CONCATENATE(J17,"-",R22),$C$2:$G$136,3,FALSE)</f>
        <v>8.0000000000000002E-3</v>
      </c>
      <c r="Y22" s="49">
        <f>VLOOKUP(CONCATENATE(J17,"-",R22),$C$2:$G$136,4,FALSE)</f>
        <v>8.0000000000000002E-3</v>
      </c>
      <c r="Z22" s="49">
        <f>VLOOKUP(CONCATENATE(J17,"-",R22),$C$2:$G$136,5,FALSE)</f>
        <v>0.01</v>
      </c>
    </row>
    <row r="23" spans="1:26" ht="15" customHeight="1">
      <c r="A23" s="37" t="str">
        <f>A22</f>
        <v>Construção e Manutenção de Estações e Redes de Distribuição de Energia Elétrica</v>
      </c>
      <c r="B23" s="41" t="s">
        <v>1608</v>
      </c>
      <c r="C23" s="37" t="str">
        <f t="shared" si="0"/>
        <v>Construção e Manutenção de Estações e Redes de Distribuição de Energia Elétrica-DF</v>
      </c>
      <c r="E23" s="42">
        <v>1.01E-2</v>
      </c>
      <c r="F23" s="42">
        <v>1.0700000000000001E-2</v>
      </c>
      <c r="G23" s="42">
        <v>1.11E-2</v>
      </c>
      <c r="I23" s="39" t="s">
        <v>1617</v>
      </c>
      <c r="J23" s="204" t="str">
        <f>IF($J$17=$A$146,"","Risco")</f>
        <v>Risco</v>
      </c>
      <c r="K23" s="204"/>
      <c r="L23" s="204"/>
      <c r="M23" s="204"/>
      <c r="N23" s="204"/>
      <c r="O23" s="204"/>
      <c r="P23" s="204"/>
      <c r="Q23" s="204"/>
      <c r="R23" s="47" t="str">
        <f>IF($J17=$A$146,"","R")</f>
        <v>R</v>
      </c>
      <c r="S23" s="48">
        <v>1.2699999999999999E-2</v>
      </c>
      <c r="U23" s="205" t="s">
        <v>1629</v>
      </c>
      <c r="V23" s="205"/>
      <c r="W23" s="205"/>
      <c r="X23" s="49">
        <f>VLOOKUP(CONCATENATE(J17,"-",R23),$C$2:$G$136,3,FALSE)</f>
        <v>9.7000000000000003E-3</v>
      </c>
      <c r="Y23" s="49">
        <f>VLOOKUP(CONCATENATE(J17,"-",R23),$C$2:$G$136,4,FALSE)</f>
        <v>1.2699999999999999E-2</v>
      </c>
      <c r="Z23" s="49">
        <f>VLOOKUP(CONCATENATE(J17,"-",R23),$C$2:$G$136,5,FALSE)</f>
        <v>1.2699999999999999E-2</v>
      </c>
    </row>
    <row r="24" spans="1:26" ht="15" customHeight="1">
      <c r="A24" s="37" t="str">
        <f>A23</f>
        <v>Construção e Manutenção de Estações e Redes de Distribuição de Energia Elétrica</v>
      </c>
      <c r="B24" s="41" t="s">
        <v>1609</v>
      </c>
      <c r="C24" s="37" t="str">
        <f t="shared" si="0"/>
        <v>Construção e Manutenção de Estações e Redes de Distribuição de Energia Elétrica-L</v>
      </c>
      <c r="E24" s="42">
        <v>0.08</v>
      </c>
      <c r="F24" s="42">
        <v>8.3100000000000007E-2</v>
      </c>
      <c r="G24" s="42">
        <v>9.5100000000000004E-2</v>
      </c>
      <c r="I24" s="39" t="s">
        <v>1617</v>
      </c>
      <c r="J24" s="204" t="str">
        <f>IF($J$17=$A$146,"","Despesas Financeiras")</f>
        <v>Despesas Financeiras</v>
      </c>
      <c r="K24" s="204"/>
      <c r="L24" s="204"/>
      <c r="M24" s="204"/>
      <c r="N24" s="204"/>
      <c r="O24" s="204"/>
      <c r="P24" s="204"/>
      <c r="Q24" s="204"/>
      <c r="R24" s="47" t="str">
        <f>IF($J17=$A$146,"","DF")</f>
        <v>DF</v>
      </c>
      <c r="S24" s="48">
        <v>1.3899999999999999E-2</v>
      </c>
      <c r="U24" s="205" t="s">
        <v>1629</v>
      </c>
      <c r="V24" s="205"/>
      <c r="W24" s="205"/>
      <c r="X24" s="49">
        <f>VLOOKUP(CONCATENATE(J17,"-",R24),$C$2:$G$136,3,FALSE)</f>
        <v>5.8999999999999999E-3</v>
      </c>
      <c r="Y24" s="49">
        <f>VLOOKUP(CONCATENATE(J17,"-",R24),$C$2:$G$136,4,FALSE)</f>
        <v>1.23E-2</v>
      </c>
      <c r="Z24" s="49">
        <f>VLOOKUP(CONCATENATE(J17,"-",R24),$C$2:$G$136,5,FALSE)</f>
        <v>1.3899999999999999E-2</v>
      </c>
    </row>
    <row r="25" spans="1:26" ht="15" customHeight="1">
      <c r="A25" s="37" t="str">
        <f>A24</f>
        <v>Construção e Manutenção de Estações e Redes de Distribuição de Energia Elétrica</v>
      </c>
      <c r="B25" s="44" t="s">
        <v>1611</v>
      </c>
      <c r="C25" s="37" t="str">
        <f t="shared" si="0"/>
        <v>Construção e Manutenção de Estações e Redes de Distribuição de Energia Elétrica-BDI PAD</v>
      </c>
      <c r="E25" s="42">
        <v>0.24</v>
      </c>
      <c r="F25" s="42">
        <v>0.25840000000000002</v>
      </c>
      <c r="G25" s="42">
        <v>0.27860000000000001</v>
      </c>
      <c r="I25" s="39" t="s">
        <v>1617</v>
      </c>
      <c r="J25" s="204" t="str">
        <f>IF($J$17=$A$146,"Margem bruta da empresa de consultoria","Lucro")</f>
        <v>Lucro</v>
      </c>
      <c r="K25" s="204"/>
      <c r="L25" s="204"/>
      <c r="M25" s="204"/>
      <c r="N25" s="204"/>
      <c r="O25" s="204"/>
      <c r="P25" s="204"/>
      <c r="Q25" s="204"/>
      <c r="R25" s="47" t="str">
        <f>IF($J17=$A$146,"K3","L")</f>
        <v>L</v>
      </c>
      <c r="S25" s="48">
        <v>6.1800000000000001E-2</v>
      </c>
      <c r="U25" s="205" t="s">
        <v>1629</v>
      </c>
      <c r="V25" s="205"/>
      <c r="W25" s="205"/>
      <c r="X25" s="49">
        <f>VLOOKUP(CONCATENATE(J17,"-",R25),$C$2:$G$136,3,FALSE)</f>
        <v>6.1600000000000002E-2</v>
      </c>
      <c r="Y25" s="49">
        <f>VLOOKUP(CONCATENATE(J17,"-",R25),$C$2:$G$136,4,FALSE)</f>
        <v>7.400000000000001E-2</v>
      </c>
      <c r="Z25" s="49">
        <f>VLOOKUP(CONCATENATE(J17,"-",R25),$C$2:$G$136,5,FALSE)</f>
        <v>8.9600000000000013E-2</v>
      </c>
    </row>
    <row r="26" spans="1:26" ht="15" customHeight="1">
      <c r="A26" s="37" t="s">
        <v>1630</v>
      </c>
      <c r="B26" s="41" t="s">
        <v>1602</v>
      </c>
      <c r="C26" s="37" t="str">
        <f t="shared" si="0"/>
        <v>Obras Portuárias, Marítimas e Fluviais-AC</v>
      </c>
      <c r="E26" s="42">
        <v>0.04</v>
      </c>
      <c r="F26" s="42">
        <v>5.5199999999999999E-2</v>
      </c>
      <c r="G26" s="42">
        <v>7.85E-2</v>
      </c>
      <c r="I26" s="39" t="s">
        <v>1617</v>
      </c>
      <c r="J26" s="204" t="s">
        <v>1631</v>
      </c>
      <c r="K26" s="204"/>
      <c r="L26" s="204"/>
      <c r="M26" s="204"/>
      <c r="N26" s="204"/>
      <c r="O26" s="204"/>
      <c r="P26" s="204"/>
      <c r="Q26" s="204"/>
      <c r="R26" s="47" t="s">
        <v>1632</v>
      </c>
      <c r="S26" s="48">
        <v>3.6499999999999998E-2</v>
      </c>
      <c r="U26" s="205" t="s">
        <v>1629</v>
      </c>
      <c r="V26" s="205"/>
      <c r="W26" s="205"/>
      <c r="X26" s="49">
        <v>3.6499999999999998E-2</v>
      </c>
      <c r="Y26" s="49">
        <v>3.6499999999999998E-2</v>
      </c>
      <c r="Z26" s="49">
        <v>3.6499999999999998E-2</v>
      </c>
    </row>
    <row r="27" spans="1:26" ht="15" customHeight="1">
      <c r="A27" s="37" t="str">
        <f>A26</f>
        <v>Obras Portuárias, Marítimas e Fluviais</v>
      </c>
      <c r="B27" s="41" t="s">
        <v>1604</v>
      </c>
      <c r="C27" s="37" t="str">
        <f t="shared" si="0"/>
        <v>Obras Portuárias, Marítimas e Fluviais-SG</v>
      </c>
      <c r="E27" s="42">
        <v>8.1000000000000013E-3</v>
      </c>
      <c r="F27" s="42">
        <v>1.2199999999999999E-2</v>
      </c>
      <c r="G27" s="42">
        <v>1.9900000000000001E-2</v>
      </c>
      <c r="I27" s="39" t="s">
        <v>1617</v>
      </c>
      <c r="J27" s="204" t="s">
        <v>1633</v>
      </c>
      <c r="K27" s="204"/>
      <c r="L27" s="204"/>
      <c r="M27" s="204"/>
      <c r="N27" s="204"/>
      <c r="O27" s="204"/>
      <c r="P27" s="204"/>
      <c r="Q27" s="204"/>
      <c r="R27" s="47" t="s">
        <v>1634</v>
      </c>
      <c r="S27" s="49">
        <f ca="1">IF(AND($J17&lt;&gt;$A$145,COUNTA(OFFSET(S20,1,0,6))&gt;0),$R$11*$R$10,0)</f>
        <v>0.05</v>
      </c>
      <c r="U27" s="205" t="s">
        <v>1629</v>
      </c>
      <c r="V27" s="205"/>
      <c r="W27" s="205"/>
      <c r="X27" s="49">
        <v>0</v>
      </c>
      <c r="Y27" s="49">
        <v>2.5000000000000001E-2</v>
      </c>
      <c r="Z27" s="49">
        <v>0.05</v>
      </c>
    </row>
    <row r="28" spans="1:26" ht="15" customHeight="1">
      <c r="A28" s="37" t="str">
        <f>A27</f>
        <v>Obras Portuárias, Marítimas e Fluviais</v>
      </c>
      <c r="B28" s="41" t="s">
        <v>1605</v>
      </c>
      <c r="C28" s="37" t="str">
        <f t="shared" si="0"/>
        <v>Obras Portuárias, Marítimas e Fluviais-R</v>
      </c>
      <c r="E28" s="42">
        <v>1.46E-2</v>
      </c>
      <c r="F28" s="42">
        <v>2.3199999999999998E-2</v>
      </c>
      <c r="G28" s="42">
        <v>3.1600000000000003E-2</v>
      </c>
      <c r="I28" s="39" t="s">
        <v>1617</v>
      </c>
      <c r="J28" s="204" t="s">
        <v>1635</v>
      </c>
      <c r="K28" s="204"/>
      <c r="L28" s="204"/>
      <c r="M28" s="204"/>
      <c r="N28" s="204"/>
      <c r="O28" s="204"/>
      <c r="P28" s="204"/>
      <c r="Q28" s="204"/>
      <c r="R28" s="47" t="s">
        <v>1636</v>
      </c>
      <c r="S28" s="49">
        <f ca="1">IF(BDI.Opcao&lt;&gt;"Desonerado",0,IF(AND($J17&lt;&gt;$A$145,COUNTA(OFFSET(S20,1,0,6))&gt;0),4.5%,0%))</f>
        <v>0</v>
      </c>
      <c r="U28" s="205" t="s">
        <v>1629</v>
      </c>
      <c r="V28" s="205"/>
      <c r="W28" s="205"/>
      <c r="X28" s="50">
        <v>0</v>
      </c>
      <c r="Y28" s="50">
        <v>4.4999999999999998E-2</v>
      </c>
      <c r="Z28" s="50">
        <v>4.4999999999999998E-2</v>
      </c>
    </row>
    <row r="29" spans="1:26" ht="15" customHeight="1">
      <c r="A29" s="37" t="str">
        <f>A28</f>
        <v>Obras Portuárias, Marítimas e Fluviais</v>
      </c>
      <c r="B29" s="41" t="s">
        <v>1608</v>
      </c>
      <c r="C29" s="37" t="str">
        <f t="shared" si="0"/>
        <v>Obras Portuárias, Marítimas e Fluviais-DF</v>
      </c>
      <c r="E29" s="42">
        <v>9.3999999999999986E-3</v>
      </c>
      <c r="F29" s="42">
        <v>1.0200000000000001E-2</v>
      </c>
      <c r="G29" s="42">
        <v>1.3300000000000001E-2</v>
      </c>
      <c r="I29" s="39" t="s">
        <v>1617</v>
      </c>
      <c r="J29" s="204" t="s">
        <v>1637</v>
      </c>
      <c r="K29" s="204"/>
      <c r="L29" s="204"/>
      <c r="M29" s="204"/>
      <c r="N29" s="204"/>
      <c r="O29" s="204"/>
      <c r="P29" s="204"/>
      <c r="Q29" s="204"/>
      <c r="R29" s="51" t="s">
        <v>1611</v>
      </c>
      <c r="S29" s="49">
        <f ca="1">IF($J17=$A$145,0,ROUND((((1+S21+S22+S23)*(1+S24)*(1+S25)/(1-(S26+S27)))-1),4))</f>
        <v>0.25</v>
      </c>
      <c r="U29" s="209" t="str">
        <f ca="1">IF(OR($J$17=$A$146,$J$17=$A$145,AND(S29&gt;=X29,S29&lt;=Z29)),"OK","FORA DO INTERVALO")</f>
        <v>OK</v>
      </c>
      <c r="V29" s="209"/>
      <c r="W29" s="209"/>
      <c r="X29" s="49">
        <f>IF($J17=$A$145,0,VLOOKUP(CONCATENATE($J17,"-",$R29),$C$2:$G$136,3,FALSE))</f>
        <v>0.2034</v>
      </c>
      <c r="Y29" s="49">
        <f>IF($J17=$A$145,0,VLOOKUP(CONCATENATE($J17,"-",$R29),$C$2:$G$136,4,FALSE))</f>
        <v>0.22120000000000001</v>
      </c>
      <c r="Z29" s="49">
        <f>IF($J17=$A$145,0,VLOOKUP(CONCATENATE($J17,"-",$R29),$C$2:$G$136,5,FALSE))</f>
        <v>0.25</v>
      </c>
    </row>
    <row r="30" spans="1:26" ht="15" customHeight="1">
      <c r="A30" s="37" t="str">
        <f>A29</f>
        <v>Obras Portuárias, Marítimas e Fluviais</v>
      </c>
      <c r="B30" s="41" t="s">
        <v>1609</v>
      </c>
      <c r="C30" s="37" t="str">
        <f t="shared" si="0"/>
        <v>Obras Portuárias, Marítimas e Fluviais-L</v>
      </c>
      <c r="E30" s="42">
        <v>7.1399999999999991E-2</v>
      </c>
      <c r="F30" s="42">
        <v>8.4000000000000005E-2</v>
      </c>
      <c r="G30" s="42">
        <v>0.1043</v>
      </c>
      <c r="I30" s="39" t="s">
        <v>1617</v>
      </c>
      <c r="J30" s="210" t="s">
        <v>1638</v>
      </c>
      <c r="K30" s="210"/>
      <c r="L30" s="210"/>
      <c r="M30" s="210"/>
      <c r="N30" s="210"/>
      <c r="O30" s="210"/>
      <c r="P30" s="210"/>
      <c r="Q30" s="210"/>
      <c r="R30" s="52" t="s">
        <v>1639</v>
      </c>
      <c r="S30" s="53">
        <f ca="1">IF($J17=$A$145,0,ROUND((((1+S21+S22+S23)*(1+S24)*(1+S25)/(1-(S26+S27+S28)))-1),4))</f>
        <v>0.25</v>
      </c>
    </row>
    <row r="31" spans="1:26" ht="26.4">
      <c r="A31" s="37" t="str">
        <f>A30</f>
        <v>Obras Portuárias, Marítimas e Fluviais</v>
      </c>
      <c r="B31" s="44" t="s">
        <v>1611</v>
      </c>
      <c r="C31" s="37" t="str">
        <f t="shared" si="0"/>
        <v>Obras Portuárias, Marítimas e Fluviais-BDI PAD</v>
      </c>
      <c r="E31" s="42">
        <v>0.22800000000000001</v>
      </c>
      <c r="F31" s="42">
        <v>0.27479999999999999</v>
      </c>
      <c r="G31" s="42">
        <v>0.3095</v>
      </c>
      <c r="I31" s="39" t="s">
        <v>1617</v>
      </c>
    </row>
    <row r="32" spans="1:26" ht="15.6">
      <c r="A32" s="37" t="s">
        <v>1640</v>
      </c>
      <c r="B32" s="41" t="s">
        <v>1602</v>
      </c>
      <c r="C32" s="37" t="str">
        <f t="shared" si="0"/>
        <v>Fornecimento de Materiais e Equipamentos (aquisição indireta - em conjunto com licitação de obras)-AC</v>
      </c>
      <c r="E32" s="42">
        <v>1.4999999999999999E-2</v>
      </c>
      <c r="F32" s="42">
        <v>3.4500000000000003E-2</v>
      </c>
      <c r="G32" s="42">
        <v>4.4900000000000002E-2</v>
      </c>
      <c r="I32" s="39" t="s">
        <v>1617</v>
      </c>
      <c r="J32" s="54" t="str">
        <f ca="1">IF(U29&lt;&gt;"ok","X","")</f>
        <v/>
      </c>
      <c r="K32" s="211" t="str">
        <f ca="1">IF(U29&lt;&gt;"ok","Anexo: Relatório Técnico Circunstanciado justificando a adoção do percentual de cada parcela do BDI.","")</f>
        <v/>
      </c>
      <c r="L32" s="211"/>
      <c r="M32" s="211"/>
      <c r="N32" s="211"/>
      <c r="O32" s="211"/>
      <c r="P32" s="211"/>
      <c r="Q32" s="211"/>
      <c r="R32" s="211"/>
      <c r="S32" s="211"/>
    </row>
    <row r="33" spans="1:19">
      <c r="A33" s="37" t="str">
        <f>A32</f>
        <v>Fornecimento de Materiais e Equipamentos (aquisição indireta - em conjunto com licitação de obras)</v>
      </c>
      <c r="B33" s="41" t="s">
        <v>1604</v>
      </c>
      <c r="C33" s="37" t="str">
        <f t="shared" si="0"/>
        <v>Fornecimento de Materiais e Equipamentos (aquisição indireta - em conjunto com licitação de obras)-SG</v>
      </c>
      <c r="E33" s="42">
        <v>3.0000000000000001E-3</v>
      </c>
      <c r="F33" s="42">
        <v>4.7999999999999996E-3</v>
      </c>
      <c r="G33" s="42">
        <v>8.199999999999999E-3</v>
      </c>
      <c r="I33" s="39" t="s">
        <v>1617</v>
      </c>
    </row>
    <row r="34" spans="1:19">
      <c r="A34" s="37" t="str">
        <f>A33</f>
        <v>Fornecimento de Materiais e Equipamentos (aquisição indireta - em conjunto com licitação de obras)</v>
      </c>
      <c r="B34" s="41" t="s">
        <v>1605</v>
      </c>
      <c r="C34" s="37" t="str">
        <f t="shared" si="0"/>
        <v>Fornecimento de Materiais e Equipamentos (aquisição indireta - em conjunto com licitação de obras)-R</v>
      </c>
      <c r="E34" s="42">
        <v>5.6000000000000008E-3</v>
      </c>
      <c r="F34" s="42">
        <v>8.5000000000000006E-3</v>
      </c>
      <c r="G34" s="42">
        <v>8.8999999999999999E-3</v>
      </c>
      <c r="I34" s="39" t="s">
        <v>1617</v>
      </c>
      <c r="J34" s="218" t="s">
        <v>1641</v>
      </c>
      <c r="K34" s="218"/>
      <c r="L34" s="218"/>
      <c r="M34" s="218"/>
      <c r="N34" s="218"/>
      <c r="O34" s="218"/>
      <c r="P34" s="218"/>
      <c r="Q34" s="218"/>
      <c r="R34" s="218"/>
      <c r="S34" s="218"/>
    </row>
    <row r="35" spans="1:19" ht="15.6">
      <c r="A35" s="37" t="str">
        <f>A34</f>
        <v>Fornecimento de Materiais e Equipamentos (aquisição indireta - em conjunto com licitação de obras)</v>
      </c>
      <c r="B35" s="41" t="s">
        <v>1608</v>
      </c>
      <c r="C35" s="37" t="str">
        <f t="shared" si="0"/>
        <v>Fornecimento de Materiais e Equipamentos (aquisição indireta - em conjunto com licitação de obras)-DF</v>
      </c>
      <c r="E35" s="42">
        <v>8.5000000000000006E-3</v>
      </c>
      <c r="F35" s="42">
        <v>8.5000000000000006E-3</v>
      </c>
      <c r="G35" s="42">
        <v>1.11E-2</v>
      </c>
      <c r="I35" s="39" t="s">
        <v>1617</v>
      </c>
      <c r="J35" s="55"/>
      <c r="K35" s="55"/>
      <c r="L35" s="55"/>
      <c r="M35" s="219" t="s">
        <v>1642</v>
      </c>
      <c r="N35" s="220" t="str">
        <f>IF($J17=$A$146,"(1+K1+K2)*(1+K3)","(1+AC + S + R + G)*(1 + DF)*(1+L)")</f>
        <v>(1+AC + S + R + G)*(1 + DF)*(1+L)</v>
      </c>
      <c r="O35" s="220"/>
      <c r="P35" s="220"/>
      <c r="Q35" s="221" t="s">
        <v>1643</v>
      </c>
      <c r="R35" s="55"/>
      <c r="S35" s="55"/>
    </row>
    <row r="36" spans="1:19" ht="15.6">
      <c r="A36" s="37" t="str">
        <f>A35</f>
        <v>Fornecimento de Materiais e Equipamentos (aquisição indireta - em conjunto com licitação de obras)</v>
      </c>
      <c r="B36" s="41" t="s">
        <v>1609</v>
      </c>
      <c r="C36" s="37" t="str">
        <f t="shared" si="0"/>
        <v>Fornecimento de Materiais e Equipamentos (aquisição indireta - em conjunto com licitação de obras)-L</v>
      </c>
      <c r="E36" s="42">
        <v>3.5000000000000003E-2</v>
      </c>
      <c r="F36" s="42">
        <v>5.1100000000000007E-2</v>
      </c>
      <c r="G36" s="42">
        <v>6.2199999999999998E-2</v>
      </c>
      <c r="I36" s="39" t="s">
        <v>1617</v>
      </c>
      <c r="J36" s="55"/>
      <c r="K36" s="55"/>
      <c r="L36" s="55"/>
      <c r="M36" s="219"/>
      <c r="N36" s="222" t="s">
        <v>1644</v>
      </c>
      <c r="O36" s="222"/>
      <c r="P36" s="222"/>
      <c r="Q36" s="221"/>
      <c r="R36" s="55"/>
      <c r="S36" s="55"/>
    </row>
    <row r="37" spans="1:19" ht="15" customHeight="1">
      <c r="A37" s="37" t="str">
        <f>A36</f>
        <v>Fornecimento de Materiais e Equipamentos (aquisição indireta - em conjunto com licitação de obras)</v>
      </c>
      <c r="B37" s="44" t="s">
        <v>1611</v>
      </c>
      <c r="C37" s="37" t="str">
        <f t="shared" si="0"/>
        <v>Fornecimento de Materiais e Equipamentos (aquisição indireta - em conjunto com licitação de obras)-BDI PAD</v>
      </c>
      <c r="E37" s="42">
        <v>0.111</v>
      </c>
      <c r="F37" s="42">
        <v>0.14019999999999999</v>
      </c>
      <c r="G37" s="42">
        <v>0.16800000000000001</v>
      </c>
      <c r="I37" s="39" t="s">
        <v>1617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50.1" customHeight="1">
      <c r="A38" s="37" t="s">
        <v>1645</v>
      </c>
      <c r="B38" s="44" t="s">
        <v>1602</v>
      </c>
      <c r="C38" s="37" t="str">
        <f t="shared" si="0"/>
        <v>Fornecimento de Materiais e Equipamentos (aquisição direta)-AC</v>
      </c>
      <c r="E38" s="42" t="s">
        <v>1629</v>
      </c>
      <c r="F38" s="42" t="s">
        <v>1629</v>
      </c>
      <c r="G38" s="42" t="s">
        <v>1629</v>
      </c>
      <c r="I38" s="39" t="s">
        <v>1617</v>
      </c>
      <c r="J38" s="212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5%.</v>
      </c>
      <c r="K38" s="212"/>
      <c r="L38" s="212"/>
      <c r="M38" s="212"/>
      <c r="N38" s="212"/>
      <c r="O38" s="212"/>
      <c r="P38" s="212"/>
      <c r="Q38" s="212"/>
      <c r="R38" s="212"/>
      <c r="S38" s="212"/>
    </row>
    <row r="39" spans="1:19">
      <c r="A39" s="37" t="s">
        <v>1645</v>
      </c>
      <c r="B39" s="44" t="s">
        <v>1604</v>
      </c>
      <c r="C39" s="37" t="str">
        <f t="shared" si="0"/>
        <v>Fornecimento de Materiais e Equipamentos (aquisição direta)-SG</v>
      </c>
      <c r="E39" s="42" t="s">
        <v>1629</v>
      </c>
      <c r="F39" s="42" t="s">
        <v>1629</v>
      </c>
      <c r="G39" s="42" t="s">
        <v>1629</v>
      </c>
      <c r="I39" s="39" t="s">
        <v>1617</v>
      </c>
    </row>
    <row r="40" spans="1:19" ht="50.1" customHeight="1">
      <c r="A40" s="37" t="s">
        <v>1645</v>
      </c>
      <c r="B40" s="44" t="s">
        <v>1605</v>
      </c>
      <c r="C40" s="37" t="str">
        <f t="shared" si="0"/>
        <v>Fornecimento de Materiais e Equipamentos (aquisição direta)-R</v>
      </c>
      <c r="E40" s="42" t="s">
        <v>1629</v>
      </c>
      <c r="F40" s="42" t="s">
        <v>1629</v>
      </c>
      <c r="G40" s="42" t="s">
        <v>1629</v>
      </c>
      <c r="I40" s="39" t="s">
        <v>1617</v>
      </c>
      <c r="J40" s="212" t="e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#VALUE!</v>
      </c>
      <c r="K40" s="212"/>
      <c r="L40" s="212"/>
      <c r="M40" s="212"/>
      <c r="N40" s="212"/>
      <c r="O40" s="212"/>
      <c r="P40" s="212"/>
      <c r="Q40" s="212"/>
      <c r="R40" s="212"/>
      <c r="S40" s="212"/>
    </row>
    <row r="41" spans="1:19">
      <c r="A41" s="37" t="s">
        <v>1645</v>
      </c>
      <c r="B41" s="44" t="s">
        <v>1608</v>
      </c>
      <c r="C41" s="37" t="str">
        <f t="shared" si="0"/>
        <v>Fornecimento de Materiais e Equipamentos (aquisição direta)-DF</v>
      </c>
      <c r="E41" s="42" t="s">
        <v>1629</v>
      </c>
      <c r="F41" s="42" t="s">
        <v>1629</v>
      </c>
      <c r="G41" s="42" t="s">
        <v>1629</v>
      </c>
      <c r="I41" s="39" t="s">
        <v>1617</v>
      </c>
    </row>
    <row r="42" spans="1:19">
      <c r="A42" s="37" t="s">
        <v>1645</v>
      </c>
      <c r="B42" s="44" t="s">
        <v>1609</v>
      </c>
      <c r="C42" s="37" t="str">
        <f t="shared" si="0"/>
        <v>Fornecimento de Materiais e Equipamentos (aquisição direta)-L</v>
      </c>
      <c r="E42" s="42" t="s">
        <v>1629</v>
      </c>
      <c r="F42" s="42" t="s">
        <v>1629</v>
      </c>
      <c r="G42" s="42" t="s">
        <v>1629</v>
      </c>
      <c r="I42" s="39" t="s">
        <v>1617</v>
      </c>
      <c r="J42" s="37" t="s">
        <v>1646</v>
      </c>
    </row>
    <row r="43" spans="1:19" ht="99.9" customHeight="1">
      <c r="A43" s="37" t="s">
        <v>1645</v>
      </c>
      <c r="B43" s="44" t="s">
        <v>1611</v>
      </c>
      <c r="C43" s="37" t="str">
        <f t="shared" si="0"/>
        <v>Fornecimento de Materiais e Equipamentos (aquisição direta)-BDI PAD</v>
      </c>
      <c r="E43" s="42" t="s">
        <v>1629</v>
      </c>
      <c r="F43" s="42" t="s">
        <v>1629</v>
      </c>
      <c r="G43" s="42" t="s">
        <v>1629</v>
      </c>
      <c r="I43" s="39" t="s">
        <v>1617</v>
      </c>
      <c r="J43" s="213"/>
      <c r="K43" s="213"/>
      <c r="L43" s="213"/>
      <c r="M43" s="213"/>
      <c r="N43" s="213"/>
      <c r="O43" s="213"/>
      <c r="P43" s="213"/>
      <c r="Q43" s="213"/>
      <c r="R43" s="213"/>
      <c r="S43" s="213"/>
    </row>
    <row r="44" spans="1:19">
      <c r="A44" s="37" t="s">
        <v>1647</v>
      </c>
      <c r="B44" s="41" t="s">
        <v>1648</v>
      </c>
      <c r="C44" s="37" t="str">
        <f t="shared" si="0"/>
        <v>Estudos e Projetos, Planos e Gerenciamento e outros correlatos-K1</v>
      </c>
      <c r="E44" s="42" t="s">
        <v>1629</v>
      </c>
      <c r="F44" s="42" t="s">
        <v>1629</v>
      </c>
      <c r="G44" s="42" t="s">
        <v>1629</v>
      </c>
      <c r="I44" s="39" t="s">
        <v>1617</v>
      </c>
    </row>
    <row r="45" spans="1:19">
      <c r="A45" s="37" t="str">
        <f>A44</f>
        <v>Estudos e Projetos, Planos e Gerenciamento e outros correlatos</v>
      </c>
      <c r="B45" s="41" t="s">
        <v>1649</v>
      </c>
      <c r="C45" s="37" t="str">
        <f t="shared" si="0"/>
        <v>Estudos e Projetos, Planos e Gerenciamento e outros correlatos-K2</v>
      </c>
      <c r="E45" s="42" t="s">
        <v>1629</v>
      </c>
      <c r="F45" s="42">
        <v>0.2</v>
      </c>
      <c r="G45" s="42" t="s">
        <v>1629</v>
      </c>
      <c r="I45" s="39" t="s">
        <v>1617</v>
      </c>
      <c r="J45" s="214" t="str">
        <f>Import.Município</f>
        <v>São João Das Missões - MG</v>
      </c>
      <c r="K45" s="214"/>
      <c r="L45" s="214"/>
      <c r="M45" s="214"/>
      <c r="P45" s="215">
        <f>[1]DADOS!$F$25</f>
        <v>45646</v>
      </c>
      <c r="Q45" s="215"/>
      <c r="R45" s="215"/>
      <c r="S45" s="215"/>
    </row>
    <row r="46" spans="1:19">
      <c r="A46" s="37" t="str">
        <f>A45</f>
        <v>Estudos e Projetos, Planos e Gerenciamento e outros correlatos</v>
      </c>
      <c r="B46" s="41"/>
      <c r="C46" s="37" t="str">
        <f t="shared" si="0"/>
        <v>Estudos e Projetos, Planos e Gerenciamento e outros correlatos-</v>
      </c>
      <c r="E46" s="42" t="s">
        <v>1629</v>
      </c>
      <c r="F46" s="42" t="s">
        <v>1629</v>
      </c>
      <c r="G46" s="42" t="s">
        <v>1629</v>
      </c>
      <c r="I46" s="39" t="s">
        <v>1617</v>
      </c>
      <c r="J46" s="216" t="s">
        <v>1650</v>
      </c>
      <c r="K46" s="216"/>
      <c r="L46" s="216"/>
      <c r="M46" s="216"/>
      <c r="O46" s="60"/>
      <c r="P46" s="61" t="s">
        <v>1651</v>
      </c>
      <c r="Q46" s="62"/>
      <c r="R46" s="62"/>
      <c r="S46" s="62"/>
    </row>
    <row r="47" spans="1:19" ht="30" customHeight="1">
      <c r="A47" s="37" t="str">
        <f>A46</f>
        <v>Estudos e Projetos, Planos e Gerenciamento e outros correlatos</v>
      </c>
      <c r="B47" s="41"/>
      <c r="C47" s="37" t="str">
        <f t="shared" si="0"/>
        <v>Estudos e Projetos, Planos e Gerenciamento e outros correlatos-</v>
      </c>
      <c r="E47" s="42" t="s">
        <v>1629</v>
      </c>
      <c r="F47" s="42" t="s">
        <v>1629</v>
      </c>
      <c r="G47" s="42" t="s">
        <v>1629</v>
      </c>
      <c r="I47" s="39" t="s">
        <v>1617</v>
      </c>
    </row>
    <row r="48" spans="1:19">
      <c r="A48" s="37" t="str">
        <f>A47</f>
        <v>Estudos e Projetos, Planos e Gerenciamento e outros correlatos</v>
      </c>
      <c r="B48" s="41" t="s">
        <v>1652</v>
      </c>
      <c r="C48" s="37" t="str">
        <f t="shared" si="0"/>
        <v>Estudos e Projetos, Planos e Gerenciamento e outros correlatos-K3</v>
      </c>
      <c r="E48" s="42" t="s">
        <v>1629</v>
      </c>
      <c r="F48" s="42">
        <v>0.12</v>
      </c>
      <c r="G48" s="42" t="s">
        <v>1629</v>
      </c>
      <c r="I48" s="39" t="s">
        <v>1617</v>
      </c>
      <c r="J48" s="217"/>
      <c r="K48" s="217"/>
      <c r="L48" s="217"/>
      <c r="M48" s="217"/>
      <c r="N48" s="63"/>
    </row>
    <row r="49" spans="1:26" ht="12.75" customHeight="1">
      <c r="A49" s="37" t="str">
        <f>A48</f>
        <v>Estudos e Projetos, Planos e Gerenciamento e outros correlatos</v>
      </c>
      <c r="B49" s="44" t="s">
        <v>1611</v>
      </c>
      <c r="C49" s="37" t="str">
        <f t="shared" si="0"/>
        <v>Estudos e Projetos, Planos e Gerenciamento e outros correlatos-BDI PAD</v>
      </c>
      <c r="E49" s="42" t="s">
        <v>1629</v>
      </c>
      <c r="F49" s="42" t="s">
        <v>1629</v>
      </c>
      <c r="G49" s="42" t="s">
        <v>1629</v>
      </c>
      <c r="I49" s="39" t="s">
        <v>1617</v>
      </c>
      <c r="J49" s="223" t="s">
        <v>1653</v>
      </c>
      <c r="K49" s="223"/>
      <c r="L49" s="223"/>
      <c r="M49" s="223"/>
    </row>
    <row r="50" spans="1:26">
      <c r="B50" s="44"/>
      <c r="E50" s="42"/>
      <c r="F50" s="42"/>
      <c r="G50" s="42"/>
      <c r="I50" s="39" t="s">
        <v>1617</v>
      </c>
      <c r="J50" s="64" t="s">
        <v>1654</v>
      </c>
      <c r="K50" s="65" t="str">
        <f t="array" ref="K50:K52">Import.RespOrçamento</f>
        <v>Gerrard Tayon Ferreira Lopo</v>
      </c>
      <c r="L50" s="66"/>
      <c r="M50" s="66"/>
      <c r="N50" s="63"/>
    </row>
    <row r="51" spans="1:26">
      <c r="A51" s="39"/>
      <c r="B51" s="39"/>
      <c r="C51" s="39"/>
      <c r="D51" s="39"/>
      <c r="E51" s="39"/>
      <c r="F51" s="39"/>
      <c r="G51" s="39"/>
      <c r="I51" s="39" t="s">
        <v>1617</v>
      </c>
      <c r="J51" s="64" t="s">
        <v>1655</v>
      </c>
      <c r="K51" s="65" t="str">
        <v>289963 MG</v>
      </c>
      <c r="L51" s="66"/>
      <c r="M51" s="66"/>
      <c r="N51" s="63"/>
    </row>
    <row r="52" spans="1:26">
      <c r="A52" s="39"/>
      <c r="B52" s="39"/>
      <c r="C52" s="39"/>
      <c r="D52" s="39"/>
      <c r="E52" s="39"/>
      <c r="F52" s="39"/>
      <c r="G52" s="39"/>
      <c r="I52" s="39" t="s">
        <v>1617</v>
      </c>
      <c r="J52" s="64" t="s">
        <v>1656</v>
      </c>
      <c r="K52" s="65">
        <v>0</v>
      </c>
      <c r="L52" s="66"/>
      <c r="M52" s="66"/>
      <c r="N52" s="63"/>
    </row>
    <row r="53" spans="1:26">
      <c r="A53" s="39"/>
      <c r="B53" s="39"/>
      <c r="C53" s="39"/>
      <c r="D53" s="39"/>
      <c r="E53" s="39"/>
      <c r="F53" s="39"/>
      <c r="G53" s="39"/>
      <c r="I53" s="39" t="s">
        <v>1617</v>
      </c>
      <c r="J53" s="64"/>
      <c r="K53" s="67"/>
      <c r="L53" s="66"/>
      <c r="M53" s="66"/>
      <c r="N53" s="63"/>
    </row>
    <row r="54" spans="1:26" ht="15.6">
      <c r="A54" s="39"/>
      <c r="B54" s="39"/>
      <c r="C54" s="39"/>
      <c r="D54" s="39"/>
      <c r="E54" s="39"/>
      <c r="F54" s="39"/>
      <c r="G54" s="39"/>
      <c r="I54" s="39" t="str">
        <f ca="1">IF($S$69=0,"","F")</f>
        <v/>
      </c>
      <c r="J54" s="206" t="s">
        <v>1657</v>
      </c>
      <c r="K54" s="206"/>
      <c r="L54" s="206"/>
      <c r="M54" s="206"/>
      <c r="N54" s="206"/>
      <c r="O54" s="206"/>
      <c r="P54" s="206"/>
      <c r="Q54" s="206"/>
      <c r="R54" s="206"/>
      <c r="S54" s="206"/>
    </row>
    <row r="55" spans="1:26">
      <c r="A55" s="39"/>
      <c r="B55" s="39"/>
      <c r="C55" s="39"/>
      <c r="D55" s="39"/>
      <c r="E55" s="39"/>
      <c r="F55" s="39"/>
      <c r="G55" s="39"/>
      <c r="I55" s="39" t="str">
        <f t="shared" ref="I55:I93" ca="1" si="1">IF($S$69=0,"","F")</f>
        <v/>
      </c>
    </row>
    <row r="56" spans="1:26" ht="13.2">
      <c r="A56" s="39"/>
      <c r="B56" s="39"/>
      <c r="C56" s="39"/>
      <c r="D56" s="39"/>
      <c r="E56" s="39"/>
      <c r="F56" s="39"/>
      <c r="G56" s="39"/>
      <c r="I56" s="39" t="str">
        <f t="shared" ca="1" si="1"/>
        <v/>
      </c>
      <c r="J56" s="195" t="s">
        <v>1620</v>
      </c>
      <c r="K56" s="195"/>
      <c r="L56" s="195"/>
      <c r="M56" s="195"/>
      <c r="N56" s="195"/>
      <c r="O56" s="195"/>
      <c r="P56" s="195"/>
      <c r="Q56" s="195"/>
      <c r="R56" s="195"/>
      <c r="S56" s="195"/>
    </row>
    <row r="57" spans="1:26" ht="13.2">
      <c r="A57" s="39"/>
      <c r="B57" s="39"/>
      <c r="C57" s="39"/>
      <c r="D57" s="39"/>
      <c r="E57" s="39"/>
      <c r="F57" s="39"/>
      <c r="G57" s="39"/>
      <c r="I57" s="39" t="str">
        <f t="shared" ca="1" si="1"/>
        <v/>
      </c>
      <c r="J57" s="207" t="s">
        <v>1658</v>
      </c>
      <c r="K57" s="207"/>
      <c r="L57" s="207"/>
      <c r="M57" s="207"/>
      <c r="N57" s="207"/>
      <c r="O57" s="207"/>
      <c r="P57" s="207"/>
      <c r="Q57" s="207"/>
      <c r="R57" s="207"/>
      <c r="S57" s="207"/>
    </row>
    <row r="58" spans="1:26">
      <c r="A58" s="39"/>
      <c r="B58" s="39"/>
      <c r="C58" s="39"/>
      <c r="D58" s="39"/>
      <c r="E58" s="39"/>
      <c r="F58" s="39"/>
      <c r="G58" s="39"/>
      <c r="I58" s="39" t="str">
        <f t="shared" ca="1" si="1"/>
        <v/>
      </c>
    </row>
    <row r="59" spans="1:26" ht="12.75" customHeight="1">
      <c r="A59" s="39"/>
      <c r="B59" s="39"/>
      <c r="C59" s="39"/>
      <c r="D59" s="39"/>
      <c r="E59" s="39"/>
      <c r="F59" s="39"/>
      <c r="G59" s="39"/>
      <c r="I59" s="39" t="str">
        <f t="shared" ca="1" si="1"/>
        <v/>
      </c>
      <c r="J59" s="208" t="s">
        <v>1621</v>
      </c>
      <c r="K59" s="208"/>
      <c r="L59" s="208"/>
      <c r="M59" s="208"/>
      <c r="N59" s="208"/>
      <c r="O59" s="208"/>
      <c r="P59" s="208"/>
      <c r="Q59" s="208"/>
      <c r="R59" s="208" t="s">
        <v>1622</v>
      </c>
      <c r="S59" s="209" t="s">
        <v>1623</v>
      </c>
      <c r="U59" s="209" t="s">
        <v>1624</v>
      </c>
      <c r="V59" s="209"/>
      <c r="W59" s="209"/>
      <c r="X59" s="203" t="s">
        <v>1625</v>
      </c>
      <c r="Y59" s="203" t="s">
        <v>1626</v>
      </c>
      <c r="Z59" s="203" t="s">
        <v>1627</v>
      </c>
    </row>
    <row r="60" spans="1:26" ht="12.75" customHeight="1">
      <c r="A60" s="39"/>
      <c r="B60" s="39"/>
      <c r="C60" s="39"/>
      <c r="D60" s="39"/>
      <c r="E60" s="39"/>
      <c r="F60" s="39"/>
      <c r="G60" s="39"/>
      <c r="I60" s="39" t="str">
        <f t="shared" ca="1" si="1"/>
        <v/>
      </c>
      <c r="J60" s="208"/>
      <c r="K60" s="208"/>
      <c r="L60" s="208"/>
      <c r="M60" s="208"/>
      <c r="N60" s="208"/>
      <c r="O60" s="208"/>
      <c r="P60" s="208"/>
      <c r="Q60" s="208"/>
      <c r="R60" s="208"/>
      <c r="S60" s="209"/>
      <c r="U60" s="209"/>
      <c r="V60" s="209"/>
      <c r="W60" s="209"/>
      <c r="X60" s="203"/>
      <c r="Y60" s="203"/>
      <c r="Z60" s="203"/>
    </row>
    <row r="61" spans="1:26" ht="15" customHeight="1">
      <c r="A61" s="39"/>
      <c r="B61" s="39"/>
      <c r="C61" s="39"/>
      <c r="D61" s="39"/>
      <c r="E61" s="39"/>
      <c r="F61" s="39"/>
      <c r="G61" s="39"/>
      <c r="I61" s="39" t="str">
        <f t="shared" ca="1" si="1"/>
        <v/>
      </c>
      <c r="J61" s="204" t="str">
        <f>IF($J$17=$A$146,"Encargos Sociais incidentes sobre a mão de obra","Administração Central")</f>
        <v>Administração Central</v>
      </c>
      <c r="K61" s="204"/>
      <c r="L61" s="204"/>
      <c r="M61" s="204"/>
      <c r="N61" s="204"/>
      <c r="O61" s="204"/>
      <c r="P61" s="204"/>
      <c r="Q61" s="204"/>
      <c r="R61" s="47" t="str">
        <f>IF($J57=$A$146,"K1","AC")</f>
        <v>AC</v>
      </c>
      <c r="S61" s="48"/>
      <c r="U61" s="205" t="s">
        <v>1629</v>
      </c>
      <c r="V61" s="205"/>
      <c r="W61" s="205"/>
      <c r="X61" s="49" t="e">
        <f>VLOOKUP(CONCATENATE(J57,"-",R61),$C$2:$G$136,3,FALSE)</f>
        <v>#N/A</v>
      </c>
      <c r="Y61" s="49" t="e">
        <f>VLOOKUP(CONCATENATE(J57,"-",R61),$C$2:$G$136,4,FALSE)</f>
        <v>#N/A</v>
      </c>
      <c r="Z61" s="49" t="e">
        <f>VLOOKUP(CONCATENATE(J57,"-",R61),$C$2:$G$136,5,FALSE)</f>
        <v>#N/A</v>
      </c>
    </row>
    <row r="62" spans="1:26" ht="15" customHeight="1">
      <c r="A62" s="39"/>
      <c r="B62" s="39"/>
      <c r="C62" s="39"/>
      <c r="D62" s="39"/>
      <c r="E62" s="39"/>
      <c r="F62" s="39"/>
      <c r="G62" s="39"/>
      <c r="I62" s="39" t="str">
        <f t="shared" ca="1" si="1"/>
        <v/>
      </c>
      <c r="J62" s="204" t="str">
        <f>IF($J$17=$A$146,"Administração Central da empresa ou consultoria - overhead","Seguro e Garantia")</f>
        <v>Seguro e Garantia</v>
      </c>
      <c r="K62" s="204"/>
      <c r="L62" s="204"/>
      <c r="M62" s="204"/>
      <c r="N62" s="204"/>
      <c r="O62" s="204"/>
      <c r="P62" s="204"/>
      <c r="Q62" s="204"/>
      <c r="R62" s="47" t="str">
        <f>IF($J57=$A$146,"K2","SG")</f>
        <v>SG</v>
      </c>
      <c r="S62" s="48"/>
      <c r="U62" s="205" t="s">
        <v>1629</v>
      </c>
      <c r="V62" s="205"/>
      <c r="W62" s="205"/>
      <c r="X62" s="49" t="e">
        <f>VLOOKUP(CONCATENATE(J57,"-",R62),$C$2:$G$136,3,FALSE)</f>
        <v>#N/A</v>
      </c>
      <c r="Y62" s="49" t="e">
        <f>VLOOKUP(CONCATENATE(J57,"-",R62),$C$2:$G$136,4,FALSE)</f>
        <v>#N/A</v>
      </c>
      <c r="Z62" s="49" t="e">
        <f>VLOOKUP(CONCATENATE(J57,"-",R62),$C$2:$G$136,5,FALSE)</f>
        <v>#N/A</v>
      </c>
    </row>
    <row r="63" spans="1:26" ht="15" customHeight="1">
      <c r="A63" s="39"/>
      <c r="B63" s="39"/>
      <c r="C63" s="39"/>
      <c r="D63" s="39"/>
      <c r="E63" s="39"/>
      <c r="F63" s="39"/>
      <c r="G63" s="39"/>
      <c r="I63" s="39" t="str">
        <f t="shared" ca="1" si="1"/>
        <v/>
      </c>
      <c r="J63" s="204" t="str">
        <f>IF($J$17=$A$146,"","Risco")</f>
        <v>Risco</v>
      </c>
      <c r="K63" s="204"/>
      <c r="L63" s="204"/>
      <c r="M63" s="204"/>
      <c r="N63" s="204"/>
      <c r="O63" s="204"/>
      <c r="P63" s="204"/>
      <c r="Q63" s="204"/>
      <c r="R63" s="47" t="str">
        <f>IF($J57=$A$146,"","R")</f>
        <v>R</v>
      </c>
      <c r="S63" s="48"/>
      <c r="U63" s="205" t="s">
        <v>1629</v>
      </c>
      <c r="V63" s="205"/>
      <c r="W63" s="205"/>
      <c r="X63" s="49" t="e">
        <f>VLOOKUP(CONCATENATE(J57,"-",R63),$C$2:$G$136,3,FALSE)</f>
        <v>#N/A</v>
      </c>
      <c r="Y63" s="49" t="e">
        <f>VLOOKUP(CONCATENATE(J57,"-",R63),$C$2:$G$136,4,FALSE)</f>
        <v>#N/A</v>
      </c>
      <c r="Z63" s="49" t="e">
        <f>VLOOKUP(CONCATENATE(J57,"-",R63),$C$2:$G$136,5,FALSE)</f>
        <v>#N/A</v>
      </c>
    </row>
    <row r="64" spans="1:26" ht="15" customHeight="1">
      <c r="A64" s="39"/>
      <c r="B64" s="39"/>
      <c r="C64" s="39"/>
      <c r="D64" s="39"/>
      <c r="E64" s="39"/>
      <c r="F64" s="39"/>
      <c r="G64" s="39"/>
      <c r="I64" s="39" t="str">
        <f t="shared" ca="1" si="1"/>
        <v/>
      </c>
      <c r="J64" s="204" t="str">
        <f>IF($J$17=$A$146,"","Despesas Financeiras")</f>
        <v>Despesas Financeiras</v>
      </c>
      <c r="K64" s="204"/>
      <c r="L64" s="204"/>
      <c r="M64" s="204"/>
      <c r="N64" s="204"/>
      <c r="O64" s="204"/>
      <c r="P64" s="204"/>
      <c r="Q64" s="204"/>
      <c r="R64" s="47" t="str">
        <f>IF($J57=$A$146,"","DF")</f>
        <v>DF</v>
      </c>
      <c r="S64" s="48"/>
      <c r="U64" s="205" t="s">
        <v>1629</v>
      </c>
      <c r="V64" s="205"/>
      <c r="W64" s="205"/>
      <c r="X64" s="49" t="e">
        <f>VLOOKUP(CONCATENATE(J57,"-",R64),$C$2:$G$136,3,FALSE)</f>
        <v>#N/A</v>
      </c>
      <c r="Y64" s="49" t="e">
        <f>VLOOKUP(CONCATENATE(J57,"-",R64),$C$2:$G$136,4,FALSE)</f>
        <v>#N/A</v>
      </c>
      <c r="Z64" s="49" t="e">
        <f>VLOOKUP(CONCATENATE(J57,"-",R64),$C$2:$G$136,5,FALSE)</f>
        <v>#N/A</v>
      </c>
    </row>
    <row r="65" spans="1:26" ht="15" customHeight="1">
      <c r="A65" s="39"/>
      <c r="B65" s="39"/>
      <c r="C65" s="39"/>
      <c r="D65" s="39"/>
      <c r="E65" s="39"/>
      <c r="F65" s="39"/>
      <c r="G65" s="39"/>
      <c r="I65" s="39" t="str">
        <f t="shared" ca="1" si="1"/>
        <v/>
      </c>
      <c r="J65" s="204" t="str">
        <f>IF($J$17=$A$146,"Margem bruta da empresa de consultoria","Lucro")</f>
        <v>Lucro</v>
      </c>
      <c r="K65" s="204"/>
      <c r="L65" s="204"/>
      <c r="M65" s="204"/>
      <c r="N65" s="204"/>
      <c r="O65" s="204"/>
      <c r="P65" s="204"/>
      <c r="Q65" s="204"/>
      <c r="R65" s="47" t="str">
        <f>IF($J57=$A$146,"K3","L")</f>
        <v>L</v>
      </c>
      <c r="S65" s="48"/>
      <c r="U65" s="205" t="s">
        <v>1629</v>
      </c>
      <c r="V65" s="205"/>
      <c r="W65" s="205"/>
      <c r="X65" s="49" t="e">
        <f>VLOOKUP(CONCATENATE(J57,"-",R65),$C$2:$G$136,3,FALSE)</f>
        <v>#N/A</v>
      </c>
      <c r="Y65" s="49" t="e">
        <f>VLOOKUP(CONCATENATE(J57,"-",R65),$C$2:$G$136,4,FALSE)</f>
        <v>#N/A</v>
      </c>
      <c r="Z65" s="49" t="e">
        <f>VLOOKUP(CONCATENATE(J57,"-",R65),$C$2:$G$136,5,FALSE)</f>
        <v>#N/A</v>
      </c>
    </row>
    <row r="66" spans="1:26" ht="15" customHeight="1">
      <c r="A66" s="39"/>
      <c r="B66" s="39"/>
      <c r="C66" s="39"/>
      <c r="D66" s="39"/>
      <c r="E66" s="39"/>
      <c r="F66" s="39"/>
      <c r="G66" s="39"/>
      <c r="I66" s="39" t="str">
        <f t="shared" ca="1" si="1"/>
        <v/>
      </c>
      <c r="J66" s="204" t="s">
        <v>1631</v>
      </c>
      <c r="K66" s="204"/>
      <c r="L66" s="204"/>
      <c r="M66" s="204"/>
      <c r="N66" s="204"/>
      <c r="O66" s="204"/>
      <c r="P66" s="204"/>
      <c r="Q66" s="204"/>
      <c r="R66" s="47" t="s">
        <v>1632</v>
      </c>
      <c r="S66" s="48"/>
      <c r="U66" s="205" t="s">
        <v>1629</v>
      </c>
      <c r="V66" s="205"/>
      <c r="W66" s="205"/>
      <c r="X66" s="49">
        <v>3.6499999999999998E-2</v>
      </c>
      <c r="Y66" s="49">
        <v>3.6499999999999998E-2</v>
      </c>
      <c r="Z66" s="49">
        <v>3.6499999999999998E-2</v>
      </c>
    </row>
    <row r="67" spans="1:26" ht="15" customHeight="1">
      <c r="A67" s="39"/>
      <c r="B67" s="39"/>
      <c r="C67" s="39"/>
      <c r="D67" s="39"/>
      <c r="E67" s="39"/>
      <c r="F67" s="39"/>
      <c r="G67" s="39"/>
      <c r="I67" s="39" t="str">
        <f t="shared" ca="1" si="1"/>
        <v/>
      </c>
      <c r="J67" s="204" t="s">
        <v>1633</v>
      </c>
      <c r="K67" s="204"/>
      <c r="L67" s="204"/>
      <c r="M67" s="204"/>
      <c r="N67" s="204"/>
      <c r="O67" s="204"/>
      <c r="P67" s="204"/>
      <c r="Q67" s="204"/>
      <c r="R67" s="47" t="s">
        <v>1634</v>
      </c>
      <c r="S67" s="49">
        <f ca="1">IF(AND($J57&lt;&gt;$A$145,COUNTA(OFFSET(S60,1,0,6))&gt;0),$R$11*$R$10,0)</f>
        <v>0</v>
      </c>
      <c r="U67" s="205" t="s">
        <v>1629</v>
      </c>
      <c r="V67" s="205"/>
      <c r="W67" s="205"/>
      <c r="X67" s="49">
        <v>0</v>
      </c>
      <c r="Y67" s="49">
        <v>2.5000000000000001E-2</v>
      </c>
      <c r="Z67" s="49">
        <v>0.05</v>
      </c>
    </row>
    <row r="68" spans="1:26" ht="15" customHeight="1">
      <c r="A68" s="39"/>
      <c r="B68" s="39"/>
      <c r="C68" s="39"/>
      <c r="D68" s="39"/>
      <c r="E68" s="39"/>
      <c r="F68" s="39"/>
      <c r="G68" s="39"/>
      <c r="I68" s="39" t="str">
        <f t="shared" ca="1" si="1"/>
        <v/>
      </c>
      <c r="J68" s="204" t="s">
        <v>1635</v>
      </c>
      <c r="K68" s="204"/>
      <c r="L68" s="204"/>
      <c r="M68" s="204"/>
      <c r="N68" s="204"/>
      <c r="O68" s="204"/>
      <c r="P68" s="204"/>
      <c r="Q68" s="204"/>
      <c r="R68" s="47" t="s">
        <v>1636</v>
      </c>
      <c r="S68" s="49">
        <f ca="1">IF(BDI.Opcao&lt;&gt;"Desonerado",0,IF(AND($J57&lt;&gt;$A$145,COUNTA(OFFSET(S60,1,0,6))&gt;0),4.5%,0%))</f>
        <v>0</v>
      </c>
      <c r="U68" s="205" t="s">
        <v>1629</v>
      </c>
      <c r="V68" s="205"/>
      <c r="W68" s="205"/>
      <c r="X68" s="50">
        <v>0</v>
      </c>
      <c r="Y68" s="50">
        <v>4.4999999999999998E-2</v>
      </c>
      <c r="Z68" s="50">
        <v>4.4999999999999998E-2</v>
      </c>
    </row>
    <row r="69" spans="1:26" ht="15" customHeight="1">
      <c r="A69" s="39"/>
      <c r="B69" s="39"/>
      <c r="C69" s="39"/>
      <c r="D69" s="39"/>
      <c r="E69" s="39"/>
      <c r="F69" s="39"/>
      <c r="G69" s="39"/>
      <c r="I69" s="39" t="str">
        <f t="shared" ca="1" si="1"/>
        <v/>
      </c>
      <c r="J69" s="204" t="s">
        <v>1637</v>
      </c>
      <c r="K69" s="204"/>
      <c r="L69" s="204"/>
      <c r="M69" s="204"/>
      <c r="N69" s="204"/>
      <c r="O69" s="204"/>
      <c r="P69" s="204"/>
      <c r="Q69" s="204"/>
      <c r="R69" s="51" t="s">
        <v>1611</v>
      </c>
      <c r="S69" s="49">
        <f ca="1">IF($J57=$A$145,0,ROUND((((1+S61+S62+S63)*(1+S64)*(1+S65)/(1-(S66+S67)))-1),4))</f>
        <v>0</v>
      </c>
      <c r="U69" s="209" t="e">
        <f ca="1">IF(OR($J$17=$A$146,$J$17=$A$145,AND(S69&gt;=X69,S69&lt;=Z69)),"OK","FORA DO INTERVALO")</f>
        <v>#N/A</v>
      </c>
      <c r="V69" s="209"/>
      <c r="W69" s="209"/>
      <c r="X69" s="49" t="e">
        <f>IF($J57=$A$145,0,VLOOKUP(CONCATENATE($J57,"-",$R69),$C$2:$G$136,3,FALSE))</f>
        <v>#N/A</v>
      </c>
      <c r="Y69" s="49" t="e">
        <f>IF($J57=$A$145,0,VLOOKUP(CONCATENATE($J57,"-",$R69),$C$2:$G$136,4,FALSE))</f>
        <v>#N/A</v>
      </c>
      <c r="Z69" s="49" t="e">
        <f>IF($J57=$A$145,0,VLOOKUP(CONCATENATE($J57,"-",$R69),$C$2:$G$136,5,FALSE))</f>
        <v>#N/A</v>
      </c>
    </row>
    <row r="70" spans="1:26" ht="15" customHeight="1">
      <c r="A70" s="39"/>
      <c r="B70" s="39"/>
      <c r="C70" s="39"/>
      <c r="D70" s="39"/>
      <c r="E70" s="39"/>
      <c r="F70" s="39"/>
      <c r="G70" s="39"/>
      <c r="I70" s="39" t="str">
        <f t="shared" ca="1" si="1"/>
        <v/>
      </c>
      <c r="J70" s="210" t="s">
        <v>1638</v>
      </c>
      <c r="K70" s="210"/>
      <c r="L70" s="210"/>
      <c r="M70" s="210"/>
      <c r="N70" s="210"/>
      <c r="O70" s="210"/>
      <c r="P70" s="210"/>
      <c r="Q70" s="210"/>
      <c r="R70" s="52" t="s">
        <v>1639</v>
      </c>
      <c r="S70" s="53">
        <f ca="1">IF($J57=$A$145,0,ROUND((((1+S61+S62+S63)*(1+S64)*(1+S65)/(1-(S66+S67+S68)))-1),4))</f>
        <v>0</v>
      </c>
    </row>
    <row r="71" spans="1:26" ht="25.5" customHeight="1">
      <c r="A71" s="39"/>
      <c r="B71" s="39"/>
      <c r="C71" s="39"/>
      <c r="D71" s="39"/>
      <c r="E71" s="39"/>
      <c r="F71" s="39"/>
      <c r="G71" s="39"/>
      <c r="I71" s="39" t="str">
        <f t="shared" ca="1" si="1"/>
        <v/>
      </c>
    </row>
    <row r="72" spans="1:26" ht="15.6">
      <c r="A72" s="39"/>
      <c r="B72" s="39"/>
      <c r="C72" s="39"/>
      <c r="D72" s="39"/>
      <c r="E72" s="39"/>
      <c r="F72" s="39"/>
      <c r="G72" s="39"/>
      <c r="I72" s="39" t="str">
        <f t="shared" ca="1" si="1"/>
        <v/>
      </c>
      <c r="J72" s="54" t="e">
        <f ca="1">IF(U69&lt;&gt;"ok","X","")</f>
        <v>#N/A</v>
      </c>
      <c r="K72" s="211" t="e">
        <f ca="1">IF(U69&lt;&gt;"ok","Anexo: Relatório Técnico Circunstanciado justificando a adoção do percentual de cada parcela do BDI.","")</f>
        <v>#N/A</v>
      </c>
      <c r="L72" s="211"/>
      <c r="M72" s="211"/>
      <c r="N72" s="211"/>
      <c r="O72" s="211"/>
      <c r="P72" s="211"/>
      <c r="Q72" s="211"/>
      <c r="R72" s="211"/>
      <c r="S72" s="211"/>
    </row>
    <row r="73" spans="1:26">
      <c r="A73" s="39"/>
      <c r="B73" s="39"/>
      <c r="C73" s="39"/>
      <c r="D73" s="39"/>
      <c r="E73" s="39"/>
      <c r="F73" s="39"/>
      <c r="G73" s="39"/>
      <c r="I73" s="39" t="str">
        <f t="shared" ca="1" si="1"/>
        <v/>
      </c>
    </row>
    <row r="74" spans="1:26">
      <c r="A74" s="39"/>
      <c r="B74" s="39"/>
      <c r="C74" s="39"/>
      <c r="D74" s="39"/>
      <c r="E74" s="39"/>
      <c r="F74" s="39"/>
      <c r="G74" s="39"/>
      <c r="I74" s="39" t="str">
        <f t="shared" ca="1" si="1"/>
        <v/>
      </c>
      <c r="J74" s="218" t="s">
        <v>1641</v>
      </c>
      <c r="K74" s="218"/>
      <c r="L74" s="218"/>
      <c r="M74" s="218"/>
      <c r="N74" s="218"/>
      <c r="O74" s="218"/>
      <c r="P74" s="218"/>
      <c r="Q74" s="218"/>
      <c r="R74" s="218"/>
      <c r="S74" s="218"/>
    </row>
    <row r="75" spans="1:26" ht="15.6">
      <c r="A75" s="39"/>
      <c r="B75" s="39"/>
      <c r="C75" s="39"/>
      <c r="D75" s="39"/>
      <c r="E75" s="39"/>
      <c r="F75" s="39"/>
      <c r="G75" s="39"/>
      <c r="I75" s="39" t="str">
        <f t="shared" ca="1" si="1"/>
        <v/>
      </c>
      <c r="J75" s="55"/>
      <c r="K75" s="55"/>
      <c r="L75" s="55"/>
      <c r="M75" s="219" t="s">
        <v>1642</v>
      </c>
      <c r="N75" s="220" t="str">
        <f>IF($J57=$A$146,"(1+K1+K2)*(1+K3)","(1+AC + S + R + G)*(1 + DF)*(1+L)")</f>
        <v>(1+AC + S + R + G)*(1 + DF)*(1+L)</v>
      </c>
      <c r="O75" s="220"/>
      <c r="P75" s="220"/>
      <c r="Q75" s="221" t="s">
        <v>1643</v>
      </c>
      <c r="R75" s="55"/>
      <c r="S75" s="55"/>
    </row>
    <row r="76" spans="1:26" ht="15.6">
      <c r="A76" s="39"/>
      <c r="B76" s="39"/>
      <c r="C76" s="39"/>
      <c r="D76" s="39"/>
      <c r="E76" s="39"/>
      <c r="F76" s="39"/>
      <c r="G76" s="39"/>
      <c r="I76" s="39" t="str">
        <f t="shared" ca="1" si="1"/>
        <v/>
      </c>
      <c r="J76" s="55"/>
      <c r="K76" s="55"/>
      <c r="L76" s="55"/>
      <c r="M76" s="219"/>
      <c r="N76" s="222" t="s">
        <v>1644</v>
      </c>
      <c r="O76" s="222"/>
      <c r="P76" s="222"/>
      <c r="Q76" s="221"/>
      <c r="R76" s="55"/>
      <c r="S76" s="55"/>
    </row>
    <row r="77" spans="1:26" ht="15" customHeight="1">
      <c r="A77" s="39"/>
      <c r="B77" s="39"/>
      <c r="C77" s="39"/>
      <c r="D77" s="39"/>
      <c r="E77" s="39"/>
      <c r="F77" s="39"/>
      <c r="G77" s="39"/>
      <c r="I77" s="39" t="str">
        <f t="shared" ca="1" si="1"/>
        <v/>
      </c>
      <c r="J77" s="55"/>
      <c r="K77" s="55"/>
      <c r="L77" s="55"/>
      <c r="M77" s="56"/>
      <c r="N77" s="58"/>
      <c r="O77" s="58"/>
      <c r="P77" s="58"/>
      <c r="Q77" s="57"/>
      <c r="R77" s="55"/>
      <c r="S77" s="55"/>
    </row>
    <row r="78" spans="1:26" ht="50.1" customHeight="1">
      <c r="A78" s="39"/>
      <c r="B78" s="39"/>
      <c r="C78" s="39"/>
      <c r="D78" s="39"/>
      <c r="E78" s="39"/>
      <c r="F78" s="39"/>
      <c r="G78" s="39"/>
      <c r="I78" s="39" t="str">
        <f t="shared" ca="1" si="1"/>
        <v/>
      </c>
      <c r="J78" s="212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5%.</v>
      </c>
      <c r="K78" s="212"/>
      <c r="L78" s="212"/>
      <c r="M78" s="212"/>
      <c r="N78" s="212"/>
      <c r="O78" s="212"/>
      <c r="P78" s="212"/>
      <c r="Q78" s="212"/>
      <c r="R78" s="212"/>
      <c r="S78" s="212"/>
    </row>
    <row r="79" spans="1:26">
      <c r="A79" s="39"/>
      <c r="B79" s="39"/>
      <c r="C79" s="39"/>
      <c r="D79" s="39"/>
      <c r="E79" s="39"/>
      <c r="F79" s="39"/>
      <c r="G79" s="39"/>
      <c r="I79" s="39" t="str">
        <f t="shared" ca="1" si="1"/>
        <v/>
      </c>
    </row>
    <row r="80" spans="1:26" ht="50.1" customHeight="1">
      <c r="A80" s="39"/>
      <c r="B80" s="39"/>
      <c r="C80" s="39"/>
      <c r="D80" s="39"/>
      <c r="E80" s="39"/>
      <c r="F80" s="39"/>
      <c r="G80" s="39"/>
      <c r="I80" s="39" t="str">
        <f t="shared" ca="1" si="1"/>
        <v/>
      </c>
      <c r="J80" s="212" t="e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#VALUE!</v>
      </c>
      <c r="K80" s="212"/>
      <c r="L80" s="212"/>
      <c r="M80" s="212"/>
      <c r="N80" s="212"/>
      <c r="O80" s="212"/>
      <c r="P80" s="212"/>
      <c r="Q80" s="212"/>
      <c r="R80" s="212"/>
      <c r="S80" s="212"/>
    </row>
    <row r="81" spans="1:19">
      <c r="A81" s="39"/>
      <c r="B81" s="39"/>
      <c r="C81" s="39"/>
      <c r="D81" s="39"/>
      <c r="E81" s="39"/>
      <c r="F81" s="39"/>
      <c r="G81" s="39"/>
      <c r="I81" s="39" t="str">
        <f t="shared" ca="1" si="1"/>
        <v/>
      </c>
    </row>
    <row r="82" spans="1:19">
      <c r="A82" s="39"/>
      <c r="B82" s="39"/>
      <c r="C82" s="39"/>
      <c r="D82" s="39"/>
      <c r="E82" s="39"/>
      <c r="F82" s="39"/>
      <c r="G82" s="39"/>
      <c r="I82" s="39" t="str">
        <f t="shared" ca="1" si="1"/>
        <v/>
      </c>
      <c r="J82" s="37" t="s">
        <v>1646</v>
      </c>
    </row>
    <row r="83" spans="1:19" ht="99.9" customHeight="1">
      <c r="A83" s="39"/>
      <c r="B83" s="39"/>
      <c r="C83" s="39"/>
      <c r="D83" s="39"/>
      <c r="E83" s="39"/>
      <c r="F83" s="39"/>
      <c r="G83" s="39"/>
      <c r="I83" s="39" t="str">
        <f t="shared" ca="1" si="1"/>
        <v/>
      </c>
      <c r="J83" s="213"/>
      <c r="K83" s="213"/>
      <c r="L83" s="213"/>
      <c r="M83" s="213"/>
      <c r="N83" s="213"/>
      <c r="O83" s="213"/>
      <c r="P83" s="213"/>
      <c r="Q83" s="213"/>
      <c r="R83" s="213"/>
      <c r="S83" s="213"/>
    </row>
    <row r="84" spans="1:19">
      <c r="A84" s="39"/>
      <c r="B84" s="39"/>
      <c r="C84" s="39"/>
      <c r="D84" s="39"/>
      <c r="E84" s="39"/>
      <c r="F84" s="39"/>
      <c r="G84" s="39"/>
      <c r="I84" s="39" t="str">
        <f t="shared" ca="1" si="1"/>
        <v/>
      </c>
    </row>
    <row r="85" spans="1:19">
      <c r="A85" s="39"/>
      <c r="B85" s="39"/>
      <c r="C85" s="39"/>
      <c r="D85" s="39"/>
      <c r="E85" s="39"/>
      <c r="F85" s="39"/>
      <c r="G85" s="39"/>
      <c r="I85" s="39" t="str">
        <f t="shared" ca="1" si="1"/>
        <v/>
      </c>
      <c r="J85" s="214" t="str">
        <f>Import.Município</f>
        <v>São João Das Missões - MG</v>
      </c>
      <c r="K85" s="214"/>
      <c r="L85" s="214"/>
      <c r="M85" s="214"/>
      <c r="P85" s="215">
        <f>[1]DADOS!$F$25</f>
        <v>45646</v>
      </c>
      <c r="Q85" s="215"/>
      <c r="R85" s="215"/>
      <c r="S85" s="215"/>
    </row>
    <row r="86" spans="1:19">
      <c r="A86" s="39"/>
      <c r="B86" s="39"/>
      <c r="C86" s="39"/>
      <c r="D86" s="39"/>
      <c r="E86" s="39"/>
      <c r="F86" s="39"/>
      <c r="G86" s="39"/>
      <c r="I86" s="39" t="str">
        <f t="shared" ca="1" si="1"/>
        <v/>
      </c>
      <c r="J86" s="216" t="s">
        <v>1650</v>
      </c>
      <c r="K86" s="216"/>
      <c r="L86" s="216"/>
      <c r="M86" s="216"/>
      <c r="O86" s="60"/>
      <c r="P86" s="61" t="s">
        <v>1651</v>
      </c>
      <c r="Q86" s="62"/>
      <c r="R86" s="62"/>
      <c r="S86" s="62"/>
    </row>
    <row r="87" spans="1:19" ht="30" customHeight="1">
      <c r="A87" s="39"/>
      <c r="B87" s="39"/>
      <c r="C87" s="39"/>
      <c r="D87" s="39"/>
      <c r="E87" s="39"/>
      <c r="F87" s="39"/>
      <c r="G87" s="39"/>
      <c r="I87" s="39" t="str">
        <f t="shared" ca="1" si="1"/>
        <v/>
      </c>
    </row>
    <row r="88" spans="1:19">
      <c r="A88" s="39"/>
      <c r="B88" s="39"/>
      <c r="C88" s="39"/>
      <c r="D88" s="39"/>
      <c r="E88" s="39"/>
      <c r="F88" s="39"/>
      <c r="G88" s="39"/>
      <c r="I88" s="39" t="str">
        <f t="shared" ca="1" si="1"/>
        <v/>
      </c>
      <c r="J88" s="217"/>
      <c r="K88" s="217"/>
      <c r="L88" s="217"/>
      <c r="M88" s="217"/>
      <c r="N88" s="63"/>
    </row>
    <row r="89" spans="1:19">
      <c r="A89" s="39"/>
      <c r="B89" s="39"/>
      <c r="C89" s="39"/>
      <c r="D89" s="39"/>
      <c r="E89" s="39"/>
      <c r="F89" s="39"/>
      <c r="G89" s="39"/>
      <c r="I89" s="39" t="str">
        <f t="shared" ca="1" si="1"/>
        <v/>
      </c>
      <c r="J89" s="223" t="s">
        <v>1653</v>
      </c>
      <c r="K89" s="223"/>
      <c r="L89" s="223"/>
      <c r="M89" s="223"/>
    </row>
    <row r="90" spans="1:19">
      <c r="A90" s="39"/>
      <c r="B90" s="39"/>
      <c r="C90" s="39"/>
      <c r="D90" s="39"/>
      <c r="E90" s="39"/>
      <c r="F90" s="39"/>
      <c r="G90" s="39"/>
      <c r="I90" s="39" t="str">
        <f t="shared" ca="1" si="1"/>
        <v/>
      </c>
      <c r="J90" s="64" t="s">
        <v>1654</v>
      </c>
      <c r="K90" s="65" t="str">
        <f t="array" ref="K90:K92">Import.RespOrçamento</f>
        <v>Gerrard Tayon Ferreira Lopo</v>
      </c>
      <c r="L90" s="66"/>
      <c r="M90" s="66"/>
      <c r="N90" s="63"/>
    </row>
    <row r="91" spans="1:19">
      <c r="A91" s="39"/>
      <c r="B91" s="39"/>
      <c r="C91" s="39"/>
      <c r="D91" s="39"/>
      <c r="E91" s="39"/>
      <c r="F91" s="39"/>
      <c r="G91" s="39"/>
      <c r="I91" s="39" t="str">
        <f t="shared" ca="1" si="1"/>
        <v/>
      </c>
      <c r="J91" s="64" t="s">
        <v>1655</v>
      </c>
      <c r="K91" s="65" t="str">
        <v>289963 MG</v>
      </c>
      <c r="L91" s="66"/>
      <c r="M91" s="66"/>
      <c r="N91" s="63"/>
    </row>
    <row r="92" spans="1:19">
      <c r="A92" s="39"/>
      <c r="B92" s="39"/>
      <c r="C92" s="39"/>
      <c r="D92" s="39"/>
      <c r="E92" s="39"/>
      <c r="F92" s="39"/>
      <c r="G92" s="39"/>
      <c r="I92" s="39" t="str">
        <f t="shared" ca="1" si="1"/>
        <v/>
      </c>
      <c r="J92" s="64" t="s">
        <v>1656</v>
      </c>
      <c r="K92" s="65">
        <v>0</v>
      </c>
      <c r="L92" s="66"/>
      <c r="M92" s="66"/>
      <c r="N92" s="63"/>
    </row>
    <row r="93" spans="1:19">
      <c r="A93" s="39"/>
      <c r="B93" s="39"/>
      <c r="C93" s="39"/>
      <c r="D93" s="39"/>
      <c r="E93" s="39"/>
      <c r="F93" s="39"/>
      <c r="G93" s="39"/>
      <c r="I93" s="39" t="str">
        <f t="shared" ca="1" si="1"/>
        <v/>
      </c>
      <c r="J93" s="64"/>
      <c r="K93" s="67"/>
      <c r="L93" s="66"/>
      <c r="M93" s="66"/>
      <c r="N93" s="63"/>
    </row>
    <row r="94" spans="1:19" ht="15.6">
      <c r="A94" s="39"/>
      <c r="B94" s="39"/>
      <c r="C94" s="39"/>
      <c r="D94" s="39"/>
      <c r="E94" s="39"/>
      <c r="F94" s="39"/>
      <c r="G94" s="39"/>
      <c r="I94" s="39" t="str">
        <f ca="1">IF($S$109=0,"","F")</f>
        <v/>
      </c>
      <c r="J94" s="206" t="s">
        <v>1659</v>
      </c>
      <c r="K94" s="206"/>
      <c r="L94" s="206"/>
      <c r="M94" s="206"/>
      <c r="N94" s="206"/>
      <c r="O94" s="206"/>
      <c r="P94" s="206"/>
      <c r="Q94" s="206"/>
      <c r="R94" s="206"/>
      <c r="S94" s="206"/>
    </row>
    <row r="95" spans="1:19">
      <c r="A95" s="39"/>
      <c r="B95" s="39"/>
      <c r="C95" s="39"/>
      <c r="D95" s="39"/>
      <c r="E95" s="39"/>
      <c r="F95" s="39"/>
      <c r="G95" s="39"/>
      <c r="I95" s="39" t="str">
        <f t="shared" ref="I95:I132" ca="1" si="2">IF($S$109=0,"","F")</f>
        <v/>
      </c>
    </row>
    <row r="96" spans="1:19" ht="13.2">
      <c r="A96" s="39"/>
      <c r="B96" s="39"/>
      <c r="C96" s="39"/>
      <c r="D96" s="39"/>
      <c r="E96" s="39"/>
      <c r="F96" s="39"/>
      <c r="G96" s="39"/>
      <c r="I96" s="39" t="str">
        <f t="shared" ca="1" si="2"/>
        <v/>
      </c>
      <c r="J96" s="195" t="s">
        <v>1620</v>
      </c>
      <c r="K96" s="195"/>
      <c r="L96" s="195"/>
      <c r="M96" s="195"/>
      <c r="N96" s="195"/>
      <c r="O96" s="195"/>
      <c r="P96" s="195"/>
      <c r="Q96" s="195"/>
      <c r="R96" s="195"/>
      <c r="S96" s="195"/>
    </row>
    <row r="97" spans="1:26" ht="13.2">
      <c r="A97" s="39"/>
      <c r="B97" s="39"/>
      <c r="C97" s="39"/>
      <c r="D97" s="39"/>
      <c r="E97" s="39"/>
      <c r="F97" s="39"/>
      <c r="G97" s="39"/>
      <c r="I97" s="39" t="str">
        <f t="shared" ca="1" si="2"/>
        <v/>
      </c>
      <c r="J97" s="207" t="s">
        <v>1658</v>
      </c>
      <c r="K97" s="207"/>
      <c r="L97" s="207"/>
      <c r="M97" s="207"/>
      <c r="N97" s="207"/>
      <c r="O97" s="207"/>
      <c r="P97" s="207"/>
      <c r="Q97" s="207"/>
      <c r="R97" s="207"/>
      <c r="S97" s="207"/>
    </row>
    <row r="98" spans="1:26">
      <c r="A98" s="39"/>
      <c r="B98" s="39"/>
      <c r="C98" s="39"/>
      <c r="D98" s="39"/>
      <c r="E98" s="39"/>
      <c r="F98" s="39"/>
      <c r="G98" s="39"/>
      <c r="I98" s="39" t="str">
        <f t="shared" ca="1" si="2"/>
        <v/>
      </c>
    </row>
    <row r="99" spans="1:26" ht="12.75" customHeight="1">
      <c r="A99" s="39"/>
      <c r="B99" s="39"/>
      <c r="C99" s="39"/>
      <c r="D99" s="39"/>
      <c r="E99" s="39"/>
      <c r="F99" s="39"/>
      <c r="G99" s="39"/>
      <c r="I99" s="39" t="str">
        <f t="shared" ca="1" si="2"/>
        <v/>
      </c>
      <c r="J99" s="208" t="s">
        <v>1621</v>
      </c>
      <c r="K99" s="208"/>
      <c r="L99" s="208"/>
      <c r="M99" s="208"/>
      <c r="N99" s="208"/>
      <c r="O99" s="208"/>
      <c r="P99" s="208"/>
      <c r="Q99" s="208"/>
      <c r="R99" s="208" t="s">
        <v>1622</v>
      </c>
      <c r="S99" s="209" t="s">
        <v>1623</v>
      </c>
      <c r="U99" s="209" t="s">
        <v>1624</v>
      </c>
      <c r="V99" s="209"/>
      <c r="W99" s="209"/>
      <c r="X99" s="203" t="s">
        <v>1625</v>
      </c>
      <c r="Y99" s="203" t="s">
        <v>1626</v>
      </c>
      <c r="Z99" s="203" t="s">
        <v>1627</v>
      </c>
    </row>
    <row r="100" spans="1:26" ht="12.75" customHeight="1">
      <c r="A100" s="39"/>
      <c r="B100" s="39"/>
      <c r="C100" s="39"/>
      <c r="D100" s="39"/>
      <c r="E100" s="39"/>
      <c r="F100" s="39"/>
      <c r="G100" s="39"/>
      <c r="I100" s="39" t="str">
        <f t="shared" ca="1" si="2"/>
        <v/>
      </c>
      <c r="J100" s="208"/>
      <c r="K100" s="208"/>
      <c r="L100" s="208"/>
      <c r="M100" s="208"/>
      <c r="N100" s="208"/>
      <c r="O100" s="208"/>
      <c r="P100" s="208"/>
      <c r="Q100" s="208"/>
      <c r="R100" s="208"/>
      <c r="S100" s="209"/>
      <c r="U100" s="209"/>
      <c r="V100" s="209"/>
      <c r="W100" s="209"/>
      <c r="X100" s="203"/>
      <c r="Y100" s="203"/>
      <c r="Z100" s="203"/>
    </row>
    <row r="101" spans="1:26" ht="15" customHeight="1">
      <c r="A101" s="39"/>
      <c r="B101" s="39"/>
      <c r="C101" s="39"/>
      <c r="D101" s="39"/>
      <c r="E101" s="39"/>
      <c r="F101" s="39"/>
      <c r="G101" s="39"/>
      <c r="I101" s="39" t="str">
        <f t="shared" ca="1" si="2"/>
        <v/>
      </c>
      <c r="J101" s="204" t="str">
        <f>IF($J$17=$A$146,"Encargos Sociais incidentes sobre a mão de obra","Administração Central")</f>
        <v>Administração Central</v>
      </c>
      <c r="K101" s="204"/>
      <c r="L101" s="204"/>
      <c r="M101" s="204"/>
      <c r="N101" s="204"/>
      <c r="O101" s="204"/>
      <c r="P101" s="204"/>
      <c r="Q101" s="204"/>
      <c r="R101" s="47" t="str">
        <f>IF($J97=$A$146,"K1","AC")</f>
        <v>AC</v>
      </c>
      <c r="S101" s="48"/>
      <c r="U101" s="205" t="s">
        <v>1629</v>
      </c>
      <c r="V101" s="205"/>
      <c r="W101" s="205"/>
      <c r="X101" s="49" t="e">
        <f>VLOOKUP(CONCATENATE(J97,"-",R101),$C$2:$G$136,3,FALSE)</f>
        <v>#N/A</v>
      </c>
      <c r="Y101" s="49" t="e">
        <f>VLOOKUP(CONCATENATE(J97,"-",R101),$C$2:$G$136,4,FALSE)</f>
        <v>#N/A</v>
      </c>
      <c r="Z101" s="49" t="e">
        <f>VLOOKUP(CONCATENATE(J97,"-",R101),$C$2:$G$136,5,FALSE)</f>
        <v>#N/A</v>
      </c>
    </row>
    <row r="102" spans="1:26" ht="15" customHeight="1">
      <c r="A102" s="39"/>
      <c r="B102" s="39"/>
      <c r="C102" s="39"/>
      <c r="D102" s="39"/>
      <c r="E102" s="39"/>
      <c r="F102" s="39"/>
      <c r="G102" s="39"/>
      <c r="I102" s="39" t="str">
        <f t="shared" ca="1" si="2"/>
        <v/>
      </c>
      <c r="J102" s="204" t="str">
        <f>IF($J$17=$A$146,"Administração Central da empresa ou consultoria - overhead","Seguro e Garantia")</f>
        <v>Seguro e Garantia</v>
      </c>
      <c r="K102" s="204"/>
      <c r="L102" s="204"/>
      <c r="M102" s="204"/>
      <c r="N102" s="204"/>
      <c r="O102" s="204"/>
      <c r="P102" s="204"/>
      <c r="Q102" s="204"/>
      <c r="R102" s="47" t="str">
        <f>IF($J97=$A$146,"K2","SG")</f>
        <v>SG</v>
      </c>
      <c r="S102" s="48"/>
      <c r="U102" s="205" t="s">
        <v>1629</v>
      </c>
      <c r="V102" s="205"/>
      <c r="W102" s="205"/>
      <c r="X102" s="49" t="e">
        <f>VLOOKUP(CONCATENATE(J97,"-",R102),$C$2:$G$136,3,FALSE)</f>
        <v>#N/A</v>
      </c>
      <c r="Y102" s="49" t="e">
        <f>VLOOKUP(CONCATENATE(J97,"-",R102),$C$2:$G$136,4,FALSE)</f>
        <v>#N/A</v>
      </c>
      <c r="Z102" s="49" t="e">
        <f>VLOOKUP(CONCATENATE(J97,"-",R102),$C$2:$G$136,5,FALSE)</f>
        <v>#N/A</v>
      </c>
    </row>
    <row r="103" spans="1:26" ht="15" customHeight="1">
      <c r="A103" s="39"/>
      <c r="B103" s="39"/>
      <c r="C103" s="39"/>
      <c r="D103" s="39"/>
      <c r="E103" s="39"/>
      <c r="F103" s="39"/>
      <c r="G103" s="39"/>
      <c r="I103" s="39" t="str">
        <f t="shared" ca="1" si="2"/>
        <v/>
      </c>
      <c r="J103" s="204" t="str">
        <f>IF($J$17=$A$146,"","Risco")</f>
        <v>Risco</v>
      </c>
      <c r="K103" s="204"/>
      <c r="L103" s="204"/>
      <c r="M103" s="204"/>
      <c r="N103" s="204"/>
      <c r="O103" s="204"/>
      <c r="P103" s="204"/>
      <c r="Q103" s="204"/>
      <c r="R103" s="47" t="str">
        <f>IF($J97=$A$146,"","R")</f>
        <v>R</v>
      </c>
      <c r="S103" s="48"/>
      <c r="U103" s="205" t="s">
        <v>1629</v>
      </c>
      <c r="V103" s="205"/>
      <c r="W103" s="205"/>
      <c r="X103" s="49" t="e">
        <f>VLOOKUP(CONCATENATE(J97,"-",R103),$C$2:$G$136,3,FALSE)</f>
        <v>#N/A</v>
      </c>
      <c r="Y103" s="49" t="e">
        <f>VLOOKUP(CONCATENATE(J97,"-",R103),$C$2:$G$136,4,FALSE)</f>
        <v>#N/A</v>
      </c>
      <c r="Z103" s="49" t="e">
        <f>VLOOKUP(CONCATENATE(J97,"-",R103),$C$2:$G$136,5,FALSE)</f>
        <v>#N/A</v>
      </c>
    </row>
    <row r="104" spans="1:26" ht="15" customHeight="1">
      <c r="A104" s="39"/>
      <c r="B104" s="39"/>
      <c r="C104" s="39"/>
      <c r="D104" s="39"/>
      <c r="E104" s="39"/>
      <c r="F104" s="39"/>
      <c r="G104" s="39"/>
      <c r="I104" s="39" t="str">
        <f t="shared" ca="1" si="2"/>
        <v/>
      </c>
      <c r="J104" s="204" t="str">
        <f>IF($J$17=$A$146,"","Despesas Financeiras")</f>
        <v>Despesas Financeiras</v>
      </c>
      <c r="K104" s="204"/>
      <c r="L104" s="204"/>
      <c r="M104" s="204"/>
      <c r="N104" s="204"/>
      <c r="O104" s="204"/>
      <c r="P104" s="204"/>
      <c r="Q104" s="204"/>
      <c r="R104" s="47" t="str">
        <f>IF($J97=$A$146,"","DF")</f>
        <v>DF</v>
      </c>
      <c r="S104" s="48"/>
      <c r="U104" s="205" t="s">
        <v>1629</v>
      </c>
      <c r="V104" s="205"/>
      <c r="W104" s="205"/>
      <c r="X104" s="49" t="e">
        <f>VLOOKUP(CONCATENATE(J97,"-",R104),$C$2:$G$136,3,FALSE)</f>
        <v>#N/A</v>
      </c>
      <c r="Y104" s="49" t="e">
        <f>VLOOKUP(CONCATENATE(J97,"-",R104),$C$2:$G$136,4,FALSE)</f>
        <v>#N/A</v>
      </c>
      <c r="Z104" s="49" t="e">
        <f>VLOOKUP(CONCATENATE(J97,"-",R104),$C$2:$G$136,5,FALSE)</f>
        <v>#N/A</v>
      </c>
    </row>
    <row r="105" spans="1:26" ht="15" customHeight="1">
      <c r="A105" s="39"/>
      <c r="B105" s="39"/>
      <c r="C105" s="39"/>
      <c r="D105" s="39"/>
      <c r="E105" s="39"/>
      <c r="F105" s="39"/>
      <c r="G105" s="39"/>
      <c r="I105" s="39" t="str">
        <f t="shared" ca="1" si="2"/>
        <v/>
      </c>
      <c r="J105" s="204" t="str">
        <f>IF($J$17=$A$146,"Margem bruta da empresa de consultoria","Lucro")</f>
        <v>Lucro</v>
      </c>
      <c r="K105" s="204"/>
      <c r="L105" s="204"/>
      <c r="M105" s="204"/>
      <c r="N105" s="204"/>
      <c r="O105" s="204"/>
      <c r="P105" s="204"/>
      <c r="Q105" s="204"/>
      <c r="R105" s="47" t="str">
        <f>IF($J97=$A$146,"K3","L")</f>
        <v>L</v>
      </c>
      <c r="S105" s="48"/>
      <c r="U105" s="205" t="s">
        <v>1629</v>
      </c>
      <c r="V105" s="205"/>
      <c r="W105" s="205"/>
      <c r="X105" s="49" t="e">
        <f>VLOOKUP(CONCATENATE(J97,"-",R105),$C$2:$G$136,3,FALSE)</f>
        <v>#N/A</v>
      </c>
      <c r="Y105" s="49" t="e">
        <f>VLOOKUP(CONCATENATE(J97,"-",R105),$C$2:$G$136,4,FALSE)</f>
        <v>#N/A</v>
      </c>
      <c r="Z105" s="49" t="e">
        <f>VLOOKUP(CONCATENATE(J97,"-",R105),$C$2:$G$136,5,FALSE)</f>
        <v>#N/A</v>
      </c>
    </row>
    <row r="106" spans="1:26" ht="15" customHeight="1">
      <c r="A106" s="39"/>
      <c r="B106" s="39"/>
      <c r="C106" s="39"/>
      <c r="D106" s="39"/>
      <c r="E106" s="39"/>
      <c r="F106" s="39"/>
      <c r="G106" s="39"/>
      <c r="I106" s="39" t="str">
        <f t="shared" ca="1" si="2"/>
        <v/>
      </c>
      <c r="J106" s="204" t="s">
        <v>1631</v>
      </c>
      <c r="K106" s="204"/>
      <c r="L106" s="204"/>
      <c r="M106" s="204"/>
      <c r="N106" s="204"/>
      <c r="O106" s="204"/>
      <c r="P106" s="204"/>
      <c r="Q106" s="204"/>
      <c r="R106" s="47" t="s">
        <v>1632</v>
      </c>
      <c r="S106" s="48"/>
      <c r="U106" s="205" t="s">
        <v>1629</v>
      </c>
      <c r="V106" s="205"/>
      <c r="W106" s="205"/>
      <c r="X106" s="49">
        <v>3.6499999999999998E-2</v>
      </c>
      <c r="Y106" s="49">
        <v>3.6499999999999998E-2</v>
      </c>
      <c r="Z106" s="49">
        <v>3.6499999999999998E-2</v>
      </c>
    </row>
    <row r="107" spans="1:26" ht="15" customHeight="1">
      <c r="A107" s="39"/>
      <c r="B107" s="39"/>
      <c r="C107" s="39"/>
      <c r="D107" s="39"/>
      <c r="E107" s="39"/>
      <c r="F107" s="39"/>
      <c r="G107" s="39"/>
      <c r="I107" s="39" t="str">
        <f t="shared" ca="1" si="2"/>
        <v/>
      </c>
      <c r="J107" s="204" t="s">
        <v>1633</v>
      </c>
      <c r="K107" s="204"/>
      <c r="L107" s="204"/>
      <c r="M107" s="204"/>
      <c r="N107" s="204"/>
      <c r="O107" s="204"/>
      <c r="P107" s="204"/>
      <c r="Q107" s="204"/>
      <c r="R107" s="47" t="s">
        <v>1634</v>
      </c>
      <c r="S107" s="49">
        <f ca="1">IF(AND($J97&lt;&gt;$A$145,COUNTA(OFFSET(S100,1,0,6))&gt;0),$R$11*$R$10,0)</f>
        <v>0</v>
      </c>
      <c r="U107" s="205" t="s">
        <v>1629</v>
      </c>
      <c r="V107" s="205"/>
      <c r="W107" s="205"/>
      <c r="X107" s="49">
        <v>0</v>
      </c>
      <c r="Y107" s="49">
        <v>2.5000000000000001E-2</v>
      </c>
      <c r="Z107" s="49">
        <v>0.05</v>
      </c>
    </row>
    <row r="108" spans="1:26" ht="15" customHeight="1">
      <c r="A108" s="39"/>
      <c r="B108" s="39"/>
      <c r="C108" s="39"/>
      <c r="D108" s="39"/>
      <c r="E108" s="39"/>
      <c r="F108" s="39"/>
      <c r="G108" s="39"/>
      <c r="I108" s="39" t="str">
        <f t="shared" ca="1" si="2"/>
        <v/>
      </c>
      <c r="J108" s="204" t="s">
        <v>1635</v>
      </c>
      <c r="K108" s="204"/>
      <c r="L108" s="204"/>
      <c r="M108" s="204"/>
      <c r="N108" s="204"/>
      <c r="O108" s="204"/>
      <c r="P108" s="204"/>
      <c r="Q108" s="204"/>
      <c r="R108" s="47" t="s">
        <v>1636</v>
      </c>
      <c r="S108" s="49">
        <f ca="1">IF(BDI.Opcao&lt;&gt;"Desonerado",0,IF(AND($J97&lt;&gt;$A$145,COUNTA(OFFSET(S100,1,0,6))&gt;0),4.5%,0%))</f>
        <v>0</v>
      </c>
      <c r="U108" s="205" t="s">
        <v>1629</v>
      </c>
      <c r="V108" s="205"/>
      <c r="W108" s="205"/>
      <c r="X108" s="50">
        <v>0</v>
      </c>
      <c r="Y108" s="50">
        <v>4.4999999999999998E-2</v>
      </c>
      <c r="Z108" s="50">
        <v>4.4999999999999998E-2</v>
      </c>
    </row>
    <row r="109" spans="1:26" ht="15" customHeight="1">
      <c r="A109" s="39"/>
      <c r="B109" s="39"/>
      <c r="C109" s="39"/>
      <c r="D109" s="39"/>
      <c r="E109" s="39"/>
      <c r="F109" s="39"/>
      <c r="G109" s="39"/>
      <c r="I109" s="39" t="str">
        <f t="shared" ca="1" si="2"/>
        <v/>
      </c>
      <c r="J109" s="204" t="s">
        <v>1637</v>
      </c>
      <c r="K109" s="204"/>
      <c r="L109" s="204"/>
      <c r="M109" s="204"/>
      <c r="N109" s="204"/>
      <c r="O109" s="204"/>
      <c r="P109" s="204"/>
      <c r="Q109" s="204"/>
      <c r="R109" s="51" t="s">
        <v>1611</v>
      </c>
      <c r="S109" s="49">
        <f ca="1">IF($J97=$A$145,0,ROUND((((1+S101+S102+S103)*(1+S104)*(1+S105)/(1-(S106+S107)))-1),4))</f>
        <v>0</v>
      </c>
      <c r="U109" s="209" t="e">
        <f ca="1">IF(OR($J$17=$A$146,$J$17=$A$145,AND(S109&gt;=X109,S109&lt;=Z109)),"OK","FORA DO INTERVALO")</f>
        <v>#N/A</v>
      </c>
      <c r="V109" s="209"/>
      <c r="W109" s="209"/>
      <c r="X109" s="49" t="e">
        <f>IF($J97=$A$145,0,VLOOKUP(CONCATENATE($J97,"-",$R109),$C$2:$G$136,3,FALSE))</f>
        <v>#N/A</v>
      </c>
      <c r="Y109" s="49" t="e">
        <f>IF($J97=$A$145,0,VLOOKUP(CONCATENATE($J97,"-",$R109),$C$2:$G$136,4,FALSE))</f>
        <v>#N/A</v>
      </c>
      <c r="Z109" s="49" t="e">
        <f>IF($J97=$A$145,0,VLOOKUP(CONCATENATE($J97,"-",$R109),$C$2:$G$136,5,FALSE))</f>
        <v>#N/A</v>
      </c>
    </row>
    <row r="110" spans="1:26" ht="15" customHeight="1">
      <c r="A110" s="39"/>
      <c r="B110" s="39"/>
      <c r="C110" s="39"/>
      <c r="D110" s="39"/>
      <c r="E110" s="39"/>
      <c r="F110" s="39"/>
      <c r="G110" s="39"/>
      <c r="I110" s="39" t="str">
        <f t="shared" ca="1" si="2"/>
        <v/>
      </c>
      <c r="J110" s="210" t="s">
        <v>1638</v>
      </c>
      <c r="K110" s="210"/>
      <c r="L110" s="210"/>
      <c r="M110" s="210"/>
      <c r="N110" s="210"/>
      <c r="O110" s="210"/>
      <c r="P110" s="210"/>
      <c r="Q110" s="210"/>
      <c r="R110" s="52" t="s">
        <v>1639</v>
      </c>
      <c r="S110" s="53">
        <f ca="1">IF($J97=$A$145,0,ROUND((((1+S101+S102+S103)*(1+S104)*(1+S105)/(1-(S106+S107+S108)))-1),4))</f>
        <v>0</v>
      </c>
    </row>
    <row r="111" spans="1:26" ht="25.5" customHeight="1">
      <c r="A111" s="39"/>
      <c r="B111" s="39"/>
      <c r="C111" s="39"/>
      <c r="D111" s="39"/>
      <c r="E111" s="39"/>
      <c r="F111" s="39"/>
      <c r="G111" s="39"/>
      <c r="I111" s="39" t="str">
        <f t="shared" ca="1" si="2"/>
        <v/>
      </c>
    </row>
    <row r="112" spans="1:26" ht="15.6">
      <c r="A112" s="39"/>
      <c r="B112" s="39"/>
      <c r="C112" s="39"/>
      <c r="D112" s="39"/>
      <c r="E112" s="39"/>
      <c r="F112" s="39"/>
      <c r="G112" s="39"/>
      <c r="I112" s="39" t="str">
        <f t="shared" ca="1" si="2"/>
        <v/>
      </c>
      <c r="J112" s="54" t="e">
        <f ca="1">IF(U109&lt;&gt;"ok","X","")</f>
        <v>#N/A</v>
      </c>
      <c r="K112" s="211" t="e">
        <f ca="1">IF(U109&lt;&gt;"ok","Anexo: Relatório Técnico Circunstanciado justificando a adoção do percentual de cada parcela do BDI.","")</f>
        <v>#N/A</v>
      </c>
      <c r="L112" s="211"/>
      <c r="M112" s="211"/>
      <c r="N112" s="211"/>
      <c r="O112" s="211"/>
      <c r="P112" s="211"/>
      <c r="Q112" s="211"/>
      <c r="R112" s="211"/>
      <c r="S112" s="211"/>
    </row>
    <row r="113" spans="1:19">
      <c r="A113" s="39"/>
      <c r="B113" s="39"/>
      <c r="C113" s="39"/>
      <c r="D113" s="39"/>
      <c r="E113" s="39"/>
      <c r="F113" s="39"/>
      <c r="G113" s="39"/>
      <c r="I113" s="39" t="str">
        <f t="shared" ca="1" si="2"/>
        <v/>
      </c>
    </row>
    <row r="114" spans="1:19">
      <c r="A114" s="39"/>
      <c r="B114" s="39"/>
      <c r="C114" s="39"/>
      <c r="D114" s="39"/>
      <c r="E114" s="39"/>
      <c r="F114" s="39"/>
      <c r="G114" s="39"/>
      <c r="I114" s="39" t="str">
        <f t="shared" ca="1" si="2"/>
        <v/>
      </c>
      <c r="J114" s="218" t="s">
        <v>1641</v>
      </c>
      <c r="K114" s="218"/>
      <c r="L114" s="218"/>
      <c r="M114" s="218"/>
      <c r="N114" s="218"/>
      <c r="O114" s="218"/>
      <c r="P114" s="218"/>
      <c r="Q114" s="218"/>
      <c r="R114" s="218"/>
      <c r="S114" s="218"/>
    </row>
    <row r="115" spans="1:19" ht="15.6">
      <c r="A115" s="39"/>
      <c r="B115" s="39"/>
      <c r="C115" s="39"/>
      <c r="D115" s="39"/>
      <c r="E115" s="39"/>
      <c r="F115" s="39"/>
      <c r="G115" s="39"/>
      <c r="I115" s="39" t="str">
        <f t="shared" ca="1" si="2"/>
        <v/>
      </c>
      <c r="J115" s="55"/>
      <c r="K115" s="55"/>
      <c r="L115" s="55"/>
      <c r="M115" s="219" t="s">
        <v>1642</v>
      </c>
      <c r="N115" s="220" t="str">
        <f>IF($J97=$A$146,"(1+K1+K2)*(1+K3)","(1+AC + S + R + G)*(1 + DF)*(1+L)")</f>
        <v>(1+AC + S + R + G)*(1 + DF)*(1+L)</v>
      </c>
      <c r="O115" s="220"/>
      <c r="P115" s="220"/>
      <c r="Q115" s="221" t="s">
        <v>1643</v>
      </c>
      <c r="R115" s="55"/>
      <c r="S115" s="55"/>
    </row>
    <row r="116" spans="1:19" ht="15.6">
      <c r="A116" s="39"/>
      <c r="B116" s="39"/>
      <c r="C116" s="39"/>
      <c r="D116" s="39"/>
      <c r="E116" s="39"/>
      <c r="F116" s="39"/>
      <c r="G116" s="39"/>
      <c r="I116" s="39" t="str">
        <f t="shared" ca="1" si="2"/>
        <v/>
      </c>
      <c r="J116" s="55"/>
      <c r="K116" s="55"/>
      <c r="L116" s="55"/>
      <c r="M116" s="219"/>
      <c r="N116" s="222" t="s">
        <v>1644</v>
      </c>
      <c r="O116" s="222"/>
      <c r="P116" s="222"/>
      <c r="Q116" s="221"/>
      <c r="R116" s="55"/>
      <c r="S116" s="55"/>
    </row>
    <row r="117" spans="1:19" ht="15" customHeight="1">
      <c r="A117" s="39"/>
      <c r="B117" s="39"/>
      <c r="C117" s="39"/>
      <c r="D117" s="39"/>
      <c r="E117" s="39"/>
      <c r="F117" s="39"/>
      <c r="G117" s="39"/>
      <c r="I117" s="39" t="str">
        <f t="shared" ca="1" si="2"/>
        <v/>
      </c>
      <c r="J117" s="55"/>
      <c r="K117" s="55"/>
      <c r="L117" s="55"/>
      <c r="M117" s="56"/>
      <c r="N117" s="58"/>
      <c r="O117" s="58"/>
      <c r="P117" s="58"/>
      <c r="Q117" s="57"/>
      <c r="R117" s="55"/>
      <c r="S117" s="55"/>
    </row>
    <row r="118" spans="1:19" ht="50.1" customHeight="1">
      <c r="A118" s="39"/>
      <c r="B118" s="39"/>
      <c r="C118" s="39"/>
      <c r="D118" s="39"/>
      <c r="E118" s="39"/>
      <c r="F118" s="39"/>
      <c r="G118" s="39"/>
      <c r="I118" s="39" t="str">
        <f t="shared" ca="1" si="2"/>
        <v/>
      </c>
      <c r="J118" s="212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5%.</v>
      </c>
      <c r="K118" s="212"/>
      <c r="L118" s="212"/>
      <c r="M118" s="212"/>
      <c r="N118" s="212"/>
      <c r="O118" s="212"/>
      <c r="P118" s="212"/>
      <c r="Q118" s="212"/>
      <c r="R118" s="212"/>
      <c r="S118" s="212"/>
    </row>
    <row r="119" spans="1:19">
      <c r="A119" s="39"/>
      <c r="B119" s="39"/>
      <c r="C119" s="39"/>
      <c r="D119" s="39"/>
      <c r="E119" s="39"/>
      <c r="F119" s="39"/>
      <c r="G119" s="39"/>
      <c r="I119" s="39" t="str">
        <f t="shared" ca="1" si="2"/>
        <v/>
      </c>
    </row>
    <row r="120" spans="1:19" ht="50.1" customHeight="1">
      <c r="A120" s="39"/>
      <c r="B120" s="39"/>
      <c r="C120" s="39"/>
      <c r="D120" s="39"/>
      <c r="E120" s="39"/>
      <c r="F120" s="39"/>
      <c r="G120" s="39"/>
      <c r="I120" s="39" t="str">
        <f t="shared" ca="1" si="2"/>
        <v/>
      </c>
      <c r="J120" s="212" t="e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#VALUE!</v>
      </c>
      <c r="K120" s="212"/>
      <c r="L120" s="212"/>
      <c r="M120" s="212"/>
      <c r="N120" s="212"/>
      <c r="O120" s="212"/>
      <c r="P120" s="212"/>
      <c r="Q120" s="212"/>
      <c r="R120" s="212"/>
      <c r="S120" s="212"/>
    </row>
    <row r="121" spans="1:19">
      <c r="A121" s="39"/>
      <c r="B121" s="39"/>
      <c r="C121" s="39"/>
      <c r="D121" s="39"/>
      <c r="E121" s="39"/>
      <c r="F121" s="39"/>
      <c r="G121" s="39"/>
      <c r="I121" s="39" t="str">
        <f t="shared" ca="1" si="2"/>
        <v/>
      </c>
    </row>
    <row r="122" spans="1:19">
      <c r="A122" s="39"/>
      <c r="B122" s="39"/>
      <c r="C122" s="39"/>
      <c r="D122" s="39"/>
      <c r="E122" s="39"/>
      <c r="F122" s="39"/>
      <c r="G122" s="39"/>
      <c r="I122" s="39" t="str">
        <f t="shared" ca="1" si="2"/>
        <v/>
      </c>
      <c r="J122" s="37" t="s">
        <v>1646</v>
      </c>
    </row>
    <row r="123" spans="1:19" ht="110.1" customHeight="1">
      <c r="A123" s="39"/>
      <c r="B123" s="39"/>
      <c r="C123" s="39"/>
      <c r="D123" s="39"/>
      <c r="E123" s="39"/>
      <c r="F123" s="39"/>
      <c r="G123" s="39"/>
      <c r="I123" s="39" t="str">
        <f t="shared" ca="1" si="2"/>
        <v/>
      </c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</row>
    <row r="124" spans="1:19">
      <c r="A124" s="39"/>
      <c r="B124" s="39"/>
      <c r="C124" s="39"/>
      <c r="D124" s="39"/>
      <c r="E124" s="39"/>
      <c r="F124" s="39"/>
      <c r="G124" s="39"/>
      <c r="I124" s="39" t="str">
        <f t="shared" ca="1" si="2"/>
        <v/>
      </c>
    </row>
    <row r="125" spans="1:19">
      <c r="A125" s="39"/>
      <c r="B125" s="39"/>
      <c r="C125" s="39"/>
      <c r="D125" s="39"/>
      <c r="E125" s="39"/>
      <c r="F125" s="39"/>
      <c r="G125" s="39"/>
      <c r="I125" s="39" t="str">
        <f t="shared" ca="1" si="2"/>
        <v/>
      </c>
      <c r="J125" s="214" t="str">
        <f>Import.Município</f>
        <v>São João Das Missões - MG</v>
      </c>
      <c r="K125" s="214"/>
      <c r="L125" s="214"/>
      <c r="M125" s="214"/>
      <c r="P125" s="215">
        <f>[1]DADOS!$F$25</f>
        <v>45646</v>
      </c>
      <c r="Q125" s="215"/>
      <c r="R125" s="215"/>
      <c r="S125" s="215"/>
    </row>
    <row r="126" spans="1:19">
      <c r="A126" s="39"/>
      <c r="B126" s="39"/>
      <c r="C126" s="39"/>
      <c r="D126" s="39"/>
      <c r="E126" s="39"/>
      <c r="F126" s="39"/>
      <c r="G126" s="39"/>
      <c r="I126" s="39" t="str">
        <f t="shared" ca="1" si="2"/>
        <v/>
      </c>
      <c r="J126" s="216" t="s">
        <v>1650</v>
      </c>
      <c r="K126" s="216"/>
      <c r="L126" s="216"/>
      <c r="M126" s="216"/>
      <c r="O126" s="60"/>
      <c r="P126" s="61" t="s">
        <v>1651</v>
      </c>
      <c r="Q126" s="62"/>
      <c r="R126" s="62"/>
      <c r="S126" s="62"/>
    </row>
    <row r="127" spans="1:19" ht="30" customHeight="1">
      <c r="A127" s="39"/>
      <c r="B127" s="39"/>
      <c r="C127" s="39"/>
      <c r="D127" s="39"/>
      <c r="E127" s="39"/>
      <c r="F127" s="39"/>
      <c r="G127" s="39"/>
      <c r="I127" s="39" t="str">
        <f t="shared" ca="1" si="2"/>
        <v/>
      </c>
    </row>
    <row r="128" spans="1:19">
      <c r="A128" s="39"/>
      <c r="B128" s="39"/>
      <c r="C128" s="39"/>
      <c r="D128" s="39"/>
      <c r="E128" s="39"/>
      <c r="F128" s="39"/>
      <c r="G128" s="39"/>
      <c r="I128" s="39" t="str">
        <f t="shared" ca="1" si="2"/>
        <v/>
      </c>
      <c r="J128" s="217"/>
      <c r="K128" s="217"/>
      <c r="L128" s="217"/>
      <c r="M128" s="217"/>
      <c r="N128" s="63"/>
    </row>
    <row r="129" spans="1:14">
      <c r="A129" s="39"/>
      <c r="B129" s="39"/>
      <c r="C129" s="39"/>
      <c r="D129" s="39"/>
      <c r="E129" s="39"/>
      <c r="F129" s="39"/>
      <c r="G129" s="39"/>
      <c r="I129" s="39" t="str">
        <f t="shared" ca="1" si="2"/>
        <v/>
      </c>
      <c r="J129" s="223" t="s">
        <v>1653</v>
      </c>
      <c r="K129" s="223"/>
      <c r="L129" s="223"/>
      <c r="M129" s="223"/>
    </row>
    <row r="130" spans="1:14">
      <c r="A130" s="39"/>
      <c r="B130" s="39"/>
      <c r="C130" s="39"/>
      <c r="D130" s="39"/>
      <c r="E130" s="39"/>
      <c r="F130" s="39"/>
      <c r="G130" s="39"/>
      <c r="I130" s="39" t="str">
        <f t="shared" ca="1" si="2"/>
        <v/>
      </c>
      <c r="J130" s="64" t="s">
        <v>1654</v>
      </c>
      <c r="K130" s="65" t="str">
        <f t="array" ref="K130:K132">Import.RespOrçamento</f>
        <v>Gerrard Tayon Ferreira Lopo</v>
      </c>
      <c r="L130" s="66"/>
      <c r="M130" s="66"/>
      <c r="N130" s="63"/>
    </row>
    <row r="131" spans="1:14">
      <c r="A131" s="39"/>
      <c r="B131" s="39"/>
      <c r="C131" s="39"/>
      <c r="D131" s="39"/>
      <c r="E131" s="39"/>
      <c r="F131" s="39"/>
      <c r="G131" s="39"/>
      <c r="I131" s="39" t="str">
        <f t="shared" ca="1" si="2"/>
        <v/>
      </c>
      <c r="J131" s="64" t="s">
        <v>1655</v>
      </c>
      <c r="K131" s="65" t="str">
        <v>289963 MG</v>
      </c>
      <c r="L131" s="66"/>
      <c r="M131" s="66"/>
      <c r="N131" s="63"/>
    </row>
    <row r="132" spans="1:14">
      <c r="A132" s="39"/>
      <c r="B132" s="39"/>
      <c r="C132" s="39"/>
      <c r="D132" s="39"/>
      <c r="E132" s="39"/>
      <c r="F132" s="39"/>
      <c r="G132" s="39"/>
      <c r="I132" s="39" t="str">
        <f t="shared" ca="1" si="2"/>
        <v/>
      </c>
      <c r="J132" s="64" t="s">
        <v>1656</v>
      </c>
      <c r="K132" s="65">
        <v>0</v>
      </c>
      <c r="L132" s="66"/>
      <c r="M132" s="66"/>
      <c r="N132" s="63"/>
    </row>
    <row r="133" spans="1:14">
      <c r="A133" s="39"/>
      <c r="B133" s="39"/>
      <c r="C133" s="39"/>
      <c r="D133" s="39"/>
      <c r="E133" s="39"/>
      <c r="F133" s="39"/>
      <c r="G133" s="39"/>
    </row>
    <row r="134" spans="1:14">
      <c r="A134" s="39"/>
      <c r="B134" s="39"/>
      <c r="C134" s="39"/>
      <c r="D134" s="39"/>
      <c r="E134" s="39"/>
      <c r="F134" s="39"/>
      <c r="G134" s="39"/>
    </row>
    <row r="135" spans="1:14">
      <c r="A135" s="39"/>
      <c r="B135" s="39"/>
      <c r="C135" s="39"/>
      <c r="D135" s="39"/>
      <c r="E135" s="39"/>
      <c r="F135" s="39"/>
      <c r="G135" s="39"/>
    </row>
    <row r="136" spans="1:14">
      <c r="A136" s="39"/>
      <c r="B136" s="39"/>
      <c r="C136" s="39"/>
      <c r="D136" s="39"/>
      <c r="E136" s="39"/>
      <c r="F136" s="39"/>
      <c r="G136" s="39"/>
    </row>
    <row r="137" spans="1:14">
      <c r="A137" s="39"/>
      <c r="B137" s="39"/>
      <c r="C137" s="39"/>
      <c r="D137" s="39"/>
      <c r="E137" s="39"/>
      <c r="F137" s="39"/>
      <c r="G137" s="39"/>
    </row>
    <row r="138" spans="1:14">
      <c r="A138" s="37" t="s">
        <v>1658</v>
      </c>
    </row>
    <row r="139" spans="1:14">
      <c r="A139" s="37" t="s">
        <v>1601</v>
      </c>
    </row>
    <row r="140" spans="1:14">
      <c r="A140" s="37" t="s">
        <v>1613</v>
      </c>
    </row>
    <row r="141" spans="1:14">
      <c r="A141" s="37" t="s">
        <v>1618</v>
      </c>
    </row>
    <row r="142" spans="1:14">
      <c r="A142" s="37" t="s">
        <v>1628</v>
      </c>
    </row>
    <row r="143" spans="1:14">
      <c r="A143" s="37" t="s">
        <v>1630</v>
      </c>
    </row>
    <row r="144" spans="1:14">
      <c r="A144" s="37" t="s">
        <v>1640</v>
      </c>
    </row>
    <row r="145" spans="1:1">
      <c r="A145" s="37" t="s">
        <v>1645</v>
      </c>
    </row>
    <row r="146" spans="1:1">
      <c r="A146" s="37" t="s">
        <v>1647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 xr:uid="{00000000-0009-0000-0000-000003000000}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J114:S114"/>
    <mergeCell ref="M115:M116"/>
    <mergeCell ref="N115:P115"/>
    <mergeCell ref="Q115:Q116"/>
    <mergeCell ref="N116:P116"/>
    <mergeCell ref="J118:S118"/>
    <mergeCell ref="J108:Q108"/>
    <mergeCell ref="U108:W108"/>
    <mergeCell ref="J109:Q109"/>
    <mergeCell ref="U109:W109"/>
    <mergeCell ref="J110:Q110"/>
    <mergeCell ref="K112:S112"/>
    <mergeCell ref="J105:Q105"/>
    <mergeCell ref="U105:W105"/>
    <mergeCell ref="J106:Q106"/>
    <mergeCell ref="U106:W106"/>
    <mergeCell ref="J107:Q107"/>
    <mergeCell ref="U107:W107"/>
    <mergeCell ref="J102:Q102"/>
    <mergeCell ref="U102:W102"/>
    <mergeCell ref="J103:Q103"/>
    <mergeCell ref="U103:W103"/>
    <mergeCell ref="J104:Q104"/>
    <mergeCell ref="U104:W104"/>
    <mergeCell ref="U99:W100"/>
    <mergeCell ref="X99:X100"/>
    <mergeCell ref="Y99:Y100"/>
    <mergeCell ref="Z99:Z100"/>
    <mergeCell ref="J101:Q101"/>
    <mergeCell ref="U101:W101"/>
    <mergeCell ref="J89:M89"/>
    <mergeCell ref="J94:S94"/>
    <mergeCell ref="J96:S96"/>
    <mergeCell ref="J97:S97"/>
    <mergeCell ref="J99:Q100"/>
    <mergeCell ref="R99:R100"/>
    <mergeCell ref="S99:S100"/>
    <mergeCell ref="J80:S80"/>
    <mergeCell ref="J83:S83"/>
    <mergeCell ref="J85:M85"/>
    <mergeCell ref="P85:S85"/>
    <mergeCell ref="J86:M86"/>
    <mergeCell ref="J88:M88"/>
    <mergeCell ref="J74:S74"/>
    <mergeCell ref="M75:M76"/>
    <mergeCell ref="N75:P75"/>
    <mergeCell ref="Q75:Q76"/>
    <mergeCell ref="N76:P76"/>
    <mergeCell ref="J78:S78"/>
    <mergeCell ref="J68:Q68"/>
    <mergeCell ref="U68:W68"/>
    <mergeCell ref="J69:Q69"/>
    <mergeCell ref="U69:W69"/>
    <mergeCell ref="J70:Q70"/>
    <mergeCell ref="K72:S72"/>
    <mergeCell ref="J65:Q65"/>
    <mergeCell ref="U65:W65"/>
    <mergeCell ref="J66:Q66"/>
    <mergeCell ref="U66:W66"/>
    <mergeCell ref="J67:Q67"/>
    <mergeCell ref="U67:W67"/>
    <mergeCell ref="J62:Q62"/>
    <mergeCell ref="U62:W62"/>
    <mergeCell ref="J63:Q63"/>
    <mergeCell ref="U63:W63"/>
    <mergeCell ref="J64:Q64"/>
    <mergeCell ref="U64:W64"/>
    <mergeCell ref="U59:W60"/>
    <mergeCell ref="X59:X60"/>
    <mergeCell ref="Y59:Y60"/>
    <mergeCell ref="Z59:Z60"/>
    <mergeCell ref="J61:Q61"/>
    <mergeCell ref="U61:W61"/>
    <mergeCell ref="J49:M49"/>
    <mergeCell ref="J54:S54"/>
    <mergeCell ref="J56:S56"/>
    <mergeCell ref="J57:S57"/>
    <mergeCell ref="J59:Q60"/>
    <mergeCell ref="R59:R60"/>
    <mergeCell ref="S59:S60"/>
    <mergeCell ref="J40:S40"/>
    <mergeCell ref="J43:S43"/>
    <mergeCell ref="J45:M45"/>
    <mergeCell ref="P45:S45"/>
    <mergeCell ref="J46:M46"/>
    <mergeCell ref="J48:M48"/>
    <mergeCell ref="J34:S34"/>
    <mergeCell ref="M35:M36"/>
    <mergeCell ref="N35:P35"/>
    <mergeCell ref="Q35:Q36"/>
    <mergeCell ref="N36:P36"/>
    <mergeCell ref="J38:S38"/>
    <mergeCell ref="J28:Q28"/>
    <mergeCell ref="U28:W28"/>
    <mergeCell ref="J29:Q29"/>
    <mergeCell ref="U29:W29"/>
    <mergeCell ref="J30:Q30"/>
    <mergeCell ref="K32:S32"/>
    <mergeCell ref="J25:Q25"/>
    <mergeCell ref="U25:W25"/>
    <mergeCell ref="J26:Q26"/>
    <mergeCell ref="U26:W26"/>
    <mergeCell ref="J27:Q27"/>
    <mergeCell ref="U27:W27"/>
    <mergeCell ref="J22:Q22"/>
    <mergeCell ref="U22:W22"/>
    <mergeCell ref="J23:Q23"/>
    <mergeCell ref="U23:W23"/>
    <mergeCell ref="J24:Q24"/>
    <mergeCell ref="U24:W24"/>
    <mergeCell ref="U19:W20"/>
    <mergeCell ref="X19:X20"/>
    <mergeCell ref="Y19:Y20"/>
    <mergeCell ref="Z19:Z20"/>
    <mergeCell ref="J21:Q21"/>
    <mergeCell ref="U21:W21"/>
    <mergeCell ref="J14:S14"/>
    <mergeCell ref="J16:S16"/>
    <mergeCell ref="J17:S17"/>
    <mergeCell ref="J19:Q20"/>
    <mergeCell ref="R19:R20"/>
    <mergeCell ref="S19:S20"/>
    <mergeCell ref="I6:I10"/>
    <mergeCell ref="J7:S7"/>
    <mergeCell ref="J8:S8"/>
    <mergeCell ref="J10:Q10"/>
    <mergeCell ref="R10:S10"/>
    <mergeCell ref="J11:Q11"/>
    <mergeCell ref="R11:S11"/>
    <mergeCell ref="R1:S1"/>
    <mergeCell ref="R2:S2"/>
    <mergeCell ref="J4:K4"/>
    <mergeCell ref="L4:M4"/>
    <mergeCell ref="N4:S4"/>
    <mergeCell ref="J5:K5"/>
    <mergeCell ref="L5:M5"/>
    <mergeCell ref="N5:S5"/>
  </mergeCells>
  <conditionalFormatting sqref="J30:S30 J70:S70 J110:S110">
    <cfRule type="expression" dxfId="3" priority="1" stopIfTrue="1">
      <formula>DESONERACAO="não"</formula>
    </cfRule>
  </conditionalFormatting>
  <conditionalFormatting sqref="U29:W29 U69:W69 U109:W109">
    <cfRule type="expression" dxfId="2" priority="2" stopIfTrue="1">
      <formula>AND(U29&lt;&gt;"OK",U29&lt;&gt;"-",U29&lt;&gt;"")</formula>
    </cfRule>
    <cfRule type="cellIs" dxfId="1" priority="3" stopIfTrue="1" operator="equal">
      <formula>"OK"</formula>
    </cfRule>
  </conditionalFormatting>
  <conditionalFormatting sqref="S29 S69 S109">
    <cfRule type="expression" dxfId="0" priority="4" stopIfTrue="1">
      <formula>DESONERACAO="não"</formula>
    </cfRule>
  </conditionalFormatting>
  <dataValidations count="6">
    <dataValidation type="list" allowBlank="1" showErrorMessage="1" sqref="J17:S17 J57:S57 J97:S97" xr:uid="{5178A5C2-4968-464C-9750-4EDD3D665C68}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 xr:uid="{6017E162-A4C1-4425-8D90-F16D7FCD64C6}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 xr:uid="{08D44B47-0893-449E-97F3-11841C3131D9}">
      <formula1>0</formula1>
      <formula2>0</formula2>
    </dataValidation>
    <dataValidation operator="greaterThanOrEqual" allowBlank="1" showErrorMessage="1" errorTitle="Erro de valores" error="Digite um valor igual a 0% ou 2%." sqref="S28 S68 S108" xr:uid="{3AA16858-2FF8-43DE-9188-E21C5CB6F3BF}">
      <formula1>0</formula1>
      <formula2>0</formula2>
    </dataValidation>
    <dataValidation type="decimal" allowBlank="1" showErrorMessage="1" errorTitle="Erro de valores" error="Digite um valor maior do que 0." sqref="S27 S67 S107" xr:uid="{A2C640F9-60E2-4CBD-B528-CA623347F81A}">
      <formula1>0</formula1>
      <formula2>1</formula2>
    </dataValidation>
    <dataValidation type="decimal" allowBlank="1" showErrorMessage="1" errorTitle="Erro de valores" error="Digite um valor entre 0% e 100%" sqref="S21:S26 S61:S66 S101:S106" xr:uid="{F0EEAADE-C322-4634-99B5-CFDE5C5FE3B8}">
      <formula1>0</formula1>
      <formula2>1</formula2>
    </dataValidation>
  </dataValidations>
  <pageMargins left="1" right="1" top="1" bottom="1" header="0.5" footer="0.5"/>
  <pageSetup paperSize="9" scale="60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MG</vt:lpstr>
      <vt:lpstr>CRONO CAIXA</vt:lpstr>
      <vt:lpstr>BDI</vt:lpstr>
      <vt:lpstr>BDI!Area_de_impressao</vt:lpstr>
      <vt:lpstr>'CRONO CAIXA'!Area_de_impressao</vt:lpstr>
      <vt:lpstr>MG!Area_de_impressao</vt:lpstr>
      <vt:lpstr>BDI!Titulos_de_impressao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2024-05-17T20:20:58Z</dcterms:created>
  <dcterms:modified xsi:type="dcterms:W3CDTF">2025-04-16T14:24:11Z</dcterms:modified>
</cp:coreProperties>
</file>