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codeName="ThisWorkbook"/>
  <xr:revisionPtr revIDLastSave="0" documentId="13_ncr:1_{9EA9B1D5-47E7-4ACC-8AC5-7CEFEED5E7A5}" xr6:coauthVersionLast="47" xr6:coauthVersionMax="47" xr10:uidLastSave="{00000000-0000-0000-0000-000000000000}"/>
  <bookViews>
    <workbookView xWindow="-108" yWindow="-108" windowWidth="23256" windowHeight="12576" tabRatio="900" xr2:uid="{00000000-000D-0000-FFFF-FFFF00000000}"/>
  </bookViews>
  <sheets>
    <sheet name="planilha orçamentaria" sheetId="21" r:id="rId1"/>
    <sheet name="CRONO CAIXA" sheetId="37" r:id="rId2"/>
    <sheet name="BDI" sheetId="3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BDI!$I$11:$I$132</definedName>
    <definedName name="a" localSheetId="1">#REF!</definedName>
    <definedName name="a">#REF!</definedName>
    <definedName name="ACOMPANHAMENTO" localSheetId="2" hidden="1">IF(VALUE([1]MENU!$O$4)=2,"BM","PLE")</definedName>
    <definedName name="ACOMPANHAMENTO" hidden="1">IF(VALUE([2]MENU!$O$4)=2,"BM","PLE")</definedName>
    <definedName name="and" localSheetId="1">#REF!</definedName>
    <definedName name="and">#REF!</definedName>
    <definedName name="_xlnm.Print_Area" localSheetId="2">BDI!$J$1:$S$53</definedName>
    <definedName name="_xlnm.Print_Area" localSheetId="1">'CRONO CAIXA'!$A$1:$AE$42</definedName>
    <definedName name="_xlnm.Print_Area" localSheetId="0">'planilha orçamentaria'!$B$1:$K$758</definedName>
    <definedName name="AUTOEVENTO" localSheetId="2" hidden="1">[1]CÁLCULO!$A$12</definedName>
    <definedName name="AUTOEVENTO" hidden="1">[2]CÁLCULO!$A$12</definedName>
    <definedName name="AUX" localSheetId="1">#REF!</definedName>
    <definedName name="AUX">#REF!</definedName>
    <definedName name="Base">[3]Base!$C$4:$K$1374</definedName>
    <definedName name="BaseDados">[3]Base!$C$4:$E$1374</definedName>
    <definedName name="BDI" localSheetId="1">#REF!</definedName>
    <definedName name="BDI">#REF!</definedName>
    <definedName name="BDI.Filtro" localSheetId="2" hidden="1">BDI!$I$11:$I$132</definedName>
    <definedName name="BDI.Filtro" localSheetId="1" hidden="1">#REF!</definedName>
    <definedName name="BDI.Filtro" hidden="1">#REF!</definedName>
    <definedName name="BDI.Opcao" localSheetId="2" hidden="1">[1]DADOS!$F$18</definedName>
    <definedName name="BDI.Opcao" hidden="1">[2]DADOS!$F$18</definedName>
    <definedName name="BDI.TipoObra" localSheetId="2" hidden="1">BDI!$A$138:$A$146</definedName>
    <definedName name="BDI.TipoObra" localSheetId="1" hidden="1">#REF!</definedName>
    <definedName name="BDI.TipoObra" hidden="1">#REF!</definedName>
    <definedName name="BM.AFAcumulado" localSheetId="2" hidden="1">[1]BM!$R1</definedName>
    <definedName name="BM.AFAcumulado" hidden="1">[2]BM!$R1</definedName>
    <definedName name="BM.AFAnterior" localSheetId="2" hidden="1">[1]BM!$Q1</definedName>
    <definedName name="BM.AFAnterior" hidden="1">[2]BM!$Q1</definedName>
    <definedName name="BM.MaxMed" localSheetId="2" hidden="1">IF(BDI!RegimeExecucao="Global",1,[1]BM!$G1)</definedName>
    <definedName name="BM.MaxMed" localSheetId="1" hidden="1">IF('CRONO CAIXA'!RegimeExecucao="Global",1,[2]BM!$G1)</definedName>
    <definedName name="BM.MaxMed" hidden="1">IF(RegimeExecucao="Global",1,[2]BM!$G1)</definedName>
    <definedName name="BM.MEDAcumulado" localSheetId="2" hidden="1">IF(COUNTIF([1]BM!$AB$13:$AM$13,BDI!BM.medicao)&gt;0,SUM(OFFSET([1]BM!$AB1,0,0,1,MATCH(BDI!BM.medicao,[1]BM!$AB$13:$AM$13,0))),0)</definedName>
    <definedName name="BM.MEDAcumulado" localSheetId="1" hidden="1">IF(COUNTIF([2]BM!$AB$13:$AM$13,BM.medicao)&gt;0,SUM(OFFSET([2]BM!$AB1,0,0,1,MATCH(BM.medicao,[2]BM!$AB$13:$AM$13,0))),0)</definedName>
    <definedName name="BM.MEDAcumulado" hidden="1">IF(COUNTIF([2]BM!$AB$13:$AM$13,BM.medicao)&gt;0,SUM(OFFSET([2]BM!$AB1,0,0,1,MATCH(BM.medicao,[2]BM!$AB$13:$AM$13,0))),0)</definedName>
    <definedName name="BM.MEDAnterior" localSheetId="2" hidden="1">IF(COUNTIF([1]BM!$AB$13:$AM$13,BDI!BM.medicao-1)&gt;0,SUM(OFFSET([1]BM!$AB1,0,0,1,MATCH(BDI!BM.medicao-1,[1]BM!$AB$13:$AM$13,0))),0)</definedName>
    <definedName name="BM.MEDAnterior" localSheetId="1" hidden="1">IF(COUNTIF([2]BM!$AB$13:$AM$13,BM.medicao-1)&gt;0,SUM(OFFSET([2]BM!$AB1,0,0,1,MATCH(BM.medicao-1,[2]BM!$AB$13:$AM$13,0))),0)</definedName>
    <definedName name="BM.MEDAnterior" hidden="1">IF(COUNTIF([2]BM!$AB$13:$AM$13,BM.medicao-1)&gt;0,SUM(OFFSET([2]BM!$AB1,0,0,1,MATCH(BM.medicao-1,[2]BM!$AB$13:$AM$13,0))),0)</definedName>
    <definedName name="BM.medicao" localSheetId="2" hidden="1">OFFSET([1]BM!$O$7,1,0)</definedName>
    <definedName name="BM.medicao" hidden="1">OFFSET([2]BM!$O$7,1,0)</definedName>
    <definedName name="BM.MinMed" localSheetId="2" hidden="1">IF(BDI!RegimeExecucao="Global",-1,-[1]BM!$G1)</definedName>
    <definedName name="BM.MinMed" localSheetId="1" hidden="1">IF('CRONO CAIXA'!RegimeExecucao="Global",-1,-[2]BM!$G1)</definedName>
    <definedName name="BM.MinMed" hidden="1">IF(RegimeExecucao="Global",-1,-[2]BM!$G1)</definedName>
    <definedName name="CAIXA.Modo" localSheetId="2" hidden="1">[1]BM!$A$3</definedName>
    <definedName name="CAIXA.Modo" hidden="1">[2]BM!$A$3</definedName>
    <definedName name="CALC" localSheetId="1">#REF!</definedName>
    <definedName name="CALC">#REF!</definedName>
    <definedName name="CÁLCULO.NúmeroDeEventos" localSheetId="2" hidden="1">IF(BDI!AUTOEVENTO&lt;&gt;"manual",MAX([1]CÁLCULO!$M$15:$M$266),MAX(OFFSET([1]EVENTOS!$C$14:$C$65,1,0)))</definedName>
    <definedName name="CÁLCULO.NúmeroDeEventos" localSheetId="1" hidden="1">IF(AUTOEVENTO&lt;&gt;"manual",MAX([2]CÁLCULO!$M$15:$M$267),MAX(OFFSET([2]EVENTOS!$C$14:$C$65,1,0)))</definedName>
    <definedName name="CÁLCULO.NúmeroDeEventos" hidden="1">IF(AUTOEVENTO&lt;&gt;"manual",MAX([2]CÁLCULO!$M$15:$M$267),MAX(OFFSET([2]EVENTOS!$C$14:$C$65,1,0)))</definedName>
    <definedName name="CÁLCULO.NúmeroDeFrentes" localSheetId="2" hidden="1">COLUMN([1]CÁLCULO!$AA$15)-COLUMN([1]CÁLCULO!$Q$15)</definedName>
    <definedName name="CÁLCULO.NúmeroDeFrentes" hidden="1">COLUMN([2]CÁLCULO!$AA$15)-COLUMN([2]CÁLCULO!$Q$15)</definedName>
    <definedName name="CÁLCULO.TotalAdmLocal" localSheetId="2" hidden="1">IF(BDI!AUTOEVENTO="manual",SUMIF([1]CÁLCULO!$M$15:$M$266,1,[1]ORÇAMENTO!$X$15:$X$266),0)</definedName>
    <definedName name="CÁLCULO.TotalAdmLocal" localSheetId="1" hidden="1">IF(AUTOEVENTO="manual",SUMIF([2]CÁLCULO!$M$15:$M$267,1,[2]ORÇAMENTO!$X$15:$X$267),0)</definedName>
    <definedName name="CÁLCULO.TotalAdmLocal" hidden="1">IF(AUTOEVENTO="manual",SUMIF([2]CÁLCULO!$M$15:$M$267,1,[2]ORÇAMENTO!$X$15:$X$267),0)</definedName>
    <definedName name="car" localSheetId="1">#REF!</definedName>
    <definedName name="car">#REF!</definedName>
    <definedName name="CARNEIRO" localSheetId="1">#REF!</definedName>
    <definedName name="CARNEIRO">#REF!</definedName>
    <definedName name="Cliente" localSheetId="1">#REF!</definedName>
    <definedName name="Cliente">#REF!</definedName>
    <definedName name="codigo" localSheetId="1">#REF!</definedName>
    <definedName name="codigo">#REF!</definedName>
    <definedName name="CÓDIGO" localSheetId="1">#REF!</definedName>
    <definedName name="CÓDIGO">#REF!</definedName>
    <definedName name="CRONO.LinhasNecessarias" localSheetId="2" hidden="1">COUNTIF([1]QCI!$B$13:$B$24,"Manual")+COUNTIF([1]QCI!$B$13:$B$24,"SemiAuto")+COUNT(BDI!ORÇAMENTO.ListaCrono)</definedName>
    <definedName name="CRONO.LinhasNecessarias" localSheetId="1" hidden="1">COUNTIF([2]QCI!$B$13:$B$24,"Manual")+COUNTIF([2]QCI!$B$13:$B$24,"SemiAuto")+COUNT(ORÇAMENTO.ListaCrono)</definedName>
    <definedName name="CRONO.LinhasNecessarias" hidden="1">COUNTIF([2]QCI!$B$13:$B$24,"Manual")+COUNTIF([2]QCI!$B$13:$B$24,"SemiAuto")+COUNT(ORÇAMENTO.ListaCrono)</definedName>
    <definedName name="CRONO.MaxParc" localSheetId="2" hidden="1">[1]CRONO!$G1048576+[1]CRONO!A1</definedName>
    <definedName name="CRONO.MaxParc" hidden="1">[2]CRONO!$G65536+[2]CRONO!A1</definedName>
    <definedName name="CRONO.NivelExibicao" localSheetId="2" hidden="1">[1]CRONO!$G$10</definedName>
    <definedName name="CRONO.NivelExibicao" hidden="1">[2]CRONO!$G$10</definedName>
    <definedName name="cronobp">'[4]PLANILHA FONTE'!$B$1:$G$290</definedName>
    <definedName name="CRONOGRAMA_PERDE">[5]!PassaExtenso</definedName>
    <definedName name="CRONOPLE.ValorDoEvento" localSheetId="2" hidden="1">SUMIF([1]CÁLCULO!$M$15:$M$266,[1]CRONOPLE!$B1,OFFSET([1]CÁLCULO!$AA$15:$AA$266,0,[1]CRONOPLE!A$12))</definedName>
    <definedName name="CRONOPLE.ValorDoEvento" hidden="1">SUMIF([2]CÁLCULO!$M$15:$M$267,[2]CRONOPLE!$B1,OFFSET([2]CÁLCULO!$AA$15:$AA$267,0,[2]CRONOPLE!A$12))</definedName>
    <definedName name="CROQUISX" localSheetId="1">#REF!</definedName>
    <definedName name="CROQUISX">#REF!</definedName>
    <definedName name="DESONERACAO" localSheetId="2" hidden="1">IF(OR(BDI!Import.Desoneracao="DESONERADO",BDI!Import.Desoneracao="SIM"),"SIM","NÃO")</definedName>
    <definedName name="DESONERACAO" localSheetId="1" hidden="1">IF(OR(Import.Desoneracao="DESONERADO",Import.Desoneracao="SIM"),"SIM","NÃO")</definedName>
    <definedName name="DESONERACAO" hidden="1">IF(OR(Import.Desoneracao="DESONERADO",Import.Desoneracao="SIM"),"SIM","NÃO")</definedName>
    <definedName name="DIDO" localSheetId="1">#REF!</definedName>
    <definedName name="DIDO">#REF!</definedName>
    <definedName name="e" localSheetId="1">#REF!</definedName>
    <definedName name="e">#REF!</definedName>
    <definedName name="EVENTOS.Lista" localSheetId="2" hidden="1">[1]EVENTOS!$C$15:OFFSET([1]EVENTOS!$C$65,-1,0)</definedName>
    <definedName name="EVENTOS.Lista" hidden="1">[2]EVENTOS!$C$15:OFFSET([2]EVENTOS!$C$65,-1,0)</definedName>
    <definedName name="EVENTOS.ListaValidacao" localSheetId="2" hidden="1">[1]EVENTOS!$B$15:OFFSET([1]EVENTOS!$B$65,-1,0)</definedName>
    <definedName name="EVENTOS.ListaValidacao" hidden="1">[2]EVENTOS!$B$15:OFFSET([2]EVENTOS!$B$65,-1,0)</definedName>
    <definedName name="Excel_BuiltIn_Database" localSheetId="2" hidden="1">TEXT(BDI!Import.DataBase,"mm-aaaa")</definedName>
    <definedName name="Excel_BuiltIn_Database" localSheetId="1" hidden="1">TEXT(Import.DataBase,"mm-aaaa")</definedName>
    <definedName name="Excel_BuiltIn_Database" hidden="1">TEXT(Import.DataBase,"mm-aaaa")</definedName>
    <definedName name="Fornecedor" localSheetId="1">#REF!</definedName>
    <definedName name="Fornecedor">#REF!</definedName>
    <definedName name="Import.Apelido" localSheetId="2" hidden="1">[1]DADOS!$F$16</definedName>
    <definedName name="Import.Apelido" hidden="1">[2]DADOS!$F$16</definedName>
    <definedName name="Import.BDI.Det1" localSheetId="2" hidden="1">BDI!$S$21:$S$26</definedName>
    <definedName name="Import.BDI.Det1" localSheetId="1" hidden="1">#REF!</definedName>
    <definedName name="Import.BDI.Det1" hidden="1">#REF!</definedName>
    <definedName name="Import.BDI.Det2" localSheetId="2" hidden="1">BDI!$S$61:$S$66</definedName>
    <definedName name="Import.BDI.Det2" localSheetId="1" hidden="1">#REF!</definedName>
    <definedName name="Import.BDI.Det2" hidden="1">#REF!</definedName>
    <definedName name="Import.BDI.Det3" localSheetId="2" hidden="1">BDI!$S$101:$S$106</definedName>
    <definedName name="Import.BDI.Det3" localSheetId="1" hidden="1">#REF!</definedName>
    <definedName name="Import.BDI.Det3" hidden="1">#REF!</definedName>
    <definedName name="Import.BDI.ISS" localSheetId="2" hidden="1">BDI!$R$10:$S$11</definedName>
    <definedName name="Import.BDI.ISS" localSheetId="1" hidden="1">#REF!</definedName>
    <definedName name="Import.BDI.ISS" hidden="1">#REF!</definedName>
    <definedName name="Import.BDI.Obs1" localSheetId="2" hidden="1">BDI!$J$43</definedName>
    <definedName name="Import.BDI.Obs1" localSheetId="1" hidden="1">#REF!</definedName>
    <definedName name="Import.BDI.Obs1" hidden="1">#REF!</definedName>
    <definedName name="Import.BDI.Obs2" localSheetId="2" hidden="1">BDI!$J$83</definedName>
    <definedName name="Import.BDI.Obs2" localSheetId="1" hidden="1">#REF!</definedName>
    <definedName name="Import.BDI.Obs2" hidden="1">#REF!</definedName>
    <definedName name="Import.BDI.Obs3" localSheetId="2" hidden="1">BDI!$J$123</definedName>
    <definedName name="Import.BDI.Obs3" localSheetId="1" hidden="1">#REF!</definedName>
    <definedName name="Import.BDI.Obs3" hidden="1">#REF!</definedName>
    <definedName name="Import.BDI.Tipo1" localSheetId="2" hidden="1">BDI!$J$17</definedName>
    <definedName name="Import.BDI.Tipo1" localSheetId="1" hidden="1">#REF!</definedName>
    <definedName name="Import.BDI.Tipo1" hidden="1">#REF!</definedName>
    <definedName name="Import.BDI.Tipo2" localSheetId="2" hidden="1">BDI!$J$57</definedName>
    <definedName name="Import.BDI.Tipo2" localSheetId="1" hidden="1">#REF!</definedName>
    <definedName name="Import.BDI.Tipo2" hidden="1">#REF!</definedName>
    <definedName name="Import.BDI.Tipo3" localSheetId="2" hidden="1">BDI!$J$97</definedName>
    <definedName name="Import.BDI.Tipo3" localSheetId="1" hidden="1">#REF!</definedName>
    <definedName name="Import.BDI.Tipo3" hidden="1">#REF!</definedName>
    <definedName name="Import.BMAFAcumulado" localSheetId="2" hidden="1">OFFSET([1]BM!$R$15,1,0):OFFSET([1]BM!$R$266,-1,0)</definedName>
    <definedName name="Import.BMAFAcumulado" hidden="1">OFFSET([2]BM!$R$15,1,0):OFFSET([2]BM!$R$267,-1,0)</definedName>
    <definedName name="Import.CNPJ" localSheetId="2" hidden="1">[1]DADOS!$F$39</definedName>
    <definedName name="Import.CNPJ" hidden="1">[2]DADOS!$F$38</definedName>
    <definedName name="Import.Código" localSheetId="2" hidden="1">OFFSET([1]ORÇAMENTO!$Q$15,1,0):OFFSET([1]ORÇAMENTO!$Q$266,-1,0)</definedName>
    <definedName name="Import.Código" hidden="1">OFFSET([2]ORÇAMENTO!$Q$15,1,0):OFFSET([2]ORÇAMENTO!$Q$267,-1,0)</definedName>
    <definedName name="Import.Contrapartida" localSheetId="2" hidden="1">[1]DADOS!$F$10</definedName>
    <definedName name="Import.Contrapartida" hidden="1">[2]DADOS!$F$10</definedName>
    <definedName name="Import.CPMaxPerc" localSheetId="2" hidden="1">[1]DADOS!$F$13</definedName>
    <definedName name="Import.CPMaxPerc" hidden="1">[2]DADOS!$F$13</definedName>
    <definedName name="Import.CPMinAbsoluta" localSheetId="2" hidden="1">[1]DADOS!$F$12</definedName>
    <definedName name="Import.CPMinAbsoluta" hidden="1">[2]DADOS!$F$12</definedName>
    <definedName name="Import.CPMinPerc" localSheetId="2" hidden="1">[1]DADOS!$F$11</definedName>
    <definedName name="Import.CPMinPerc" hidden="1">[2]DADOS!$F$11</definedName>
    <definedName name="Import.CR" localSheetId="2" hidden="1">[1]DADOS!$F$7</definedName>
    <definedName name="Import.CR" hidden="1">[2]DADOS!$F$7</definedName>
    <definedName name="Import.CRONOPLE" localSheetId="2" hidden="1">OFFSET([1]CRONOPLE!$F$15,1,1):OFFSET([1]CRONOPLE!$AF$65,-1,-1)</definedName>
    <definedName name="Import.CRONOPLE" hidden="1">OFFSET([2]CRONOPLE!$F$15,1,1):OFFSET([2]CRONOPLE!$AF$65,-1,-1)</definedName>
    <definedName name="Import.CTEF" localSheetId="2" hidden="1">[1]DADOS!$F$37</definedName>
    <definedName name="Import.CTEF" hidden="1">[2]DADOS!$F$36</definedName>
    <definedName name="Import.CustoUnitário" localSheetId="2" hidden="1">OFFSET([1]ORÇAMENTO!$U$15,1,0):OFFSET([1]ORÇAMENTO!$U$266,-1,0)</definedName>
    <definedName name="Import.CustoUnitário" hidden="1">OFFSET([2]ORÇAMENTO!$U$15,1,0):OFFSET([2]ORÇAMENTO!$U$267,-1,0)</definedName>
    <definedName name="Import.DataBase" localSheetId="2" hidden="1">OFFSET([1]DADOS!$G$19,0,-1)</definedName>
    <definedName name="Import.DataBase" hidden="1">OFFSET([2]DADOS!$G$19,0,-1)</definedName>
    <definedName name="Import.DataBaseLicit" localSheetId="2" hidden="1">OFFSET([1]DADOS!$G$41,0,-1)</definedName>
    <definedName name="Import.DataBaseLicit" hidden="1">OFFSET([2]DADOS!$G$40,0,-1)</definedName>
    <definedName name="Import.DataInicioObra" localSheetId="2" hidden="1">[1]DADOS!$F$47</definedName>
    <definedName name="Import.DataInicioObra" hidden="1">[2]DADOS!$F$46</definedName>
    <definedName name="Import.DescLote" localSheetId="2" hidden="1">[1]DADOS!$F$17</definedName>
    <definedName name="Import.DescLote" hidden="1">[2]DADOS!$F$17</definedName>
    <definedName name="Import.Descrição" localSheetId="2" hidden="1">OFFSET([1]ORÇAMENTO!$R$15,1,0):OFFSET([1]ORÇAMENTO!$R$266,-1,0)</definedName>
    <definedName name="Import.Descrição" hidden="1">OFFSET([2]ORÇAMENTO!$R$15,1,0):OFFSET([2]ORÇAMENTO!$R$267,-1,0)</definedName>
    <definedName name="Import.Desoneracao" localSheetId="2" hidden="1">OFFSET([1]DADOS!$G$18,0,-1)</definedName>
    <definedName name="Import.Desoneracao" hidden="1">OFFSET([2]DADOS!$G$18,0,-1)</definedName>
    <definedName name="Import.empresa" localSheetId="2" hidden="1">[1]DADOS!$F$38</definedName>
    <definedName name="Import.empresa" hidden="1">[2]DADOS!$F$37</definedName>
    <definedName name="Import.Eventos.Nomes" localSheetId="2" hidden="1">OFFSET([1]EVENTOS!$D$15,1,0):OFFSET([1]EVENTOS!$D$65,-1,0)</definedName>
    <definedName name="Import.Eventos.Nomes" hidden="1">OFFSET([2]EVENTOS!$D$15,1,0):OFFSET([2]EVENTOS!$D$65,-1,0)</definedName>
    <definedName name="Import.Fonte" localSheetId="2" hidden="1">OFFSET([1]ORÇAMENTO!$P$15,1,0):OFFSET([1]ORÇAMENTO!$P$266,-1,0)</definedName>
    <definedName name="Import.Fonte" hidden="1">OFFSET([2]ORÇAMENTO!$P$15,1,0):OFFSET([2]ORÇAMENTO!$P$267,-1,0)</definedName>
    <definedName name="Import.FrenteDeObra" localSheetId="2" hidden="1">[1]CÁLCULO!$Q$12:OFFSET([1]CÁLCULO!$AA$12,0,-1)</definedName>
    <definedName name="Import.FrenteDeObra" hidden="1">[2]CÁLCULO!$Q$12:OFFSET([2]CÁLCULO!$AA$12,0,-1)</definedName>
    <definedName name="Import.Município" localSheetId="2" hidden="1">[1]DADOS!$F$6</definedName>
    <definedName name="Import.Município" hidden="1">[2]DADOS!$F$6</definedName>
    <definedName name="Import.Nível" localSheetId="2" hidden="1">OFFSET([1]ORÇAMENTO!$M$15,1,0):OFFSET([1]ORÇAMENTO!$M$266,-1,0)</definedName>
    <definedName name="Import.Nível" hidden="1">OFFSET([2]ORÇAMENTO!$M$15,1,0):OFFSET([2]ORÇAMENTO!$M$267,-1,0)</definedName>
    <definedName name="Import.OpcaoBDI" localSheetId="2" hidden="1">OFFSET([1]ORÇAMENTO!$V$15,1,0):OFFSET([1]ORÇAMENTO!$V$266,-1,0)</definedName>
    <definedName name="Import.OpcaoBDI" hidden="1">OFFSET([2]ORÇAMENTO!$V$15,1,0):OFFSET([2]ORÇAMENTO!$V$267,-1,0)</definedName>
    <definedName name="Import.ORÇAMENTO.DivRecurso" localSheetId="2" hidden="1">OFFSET([1]ORÇAMENTO!$Y$15,1,0):OFFSET([1]ORÇAMENTO!$Y$266,-1,0)</definedName>
    <definedName name="Import.ORÇAMENTO.DivRecurso" hidden="1">OFFSET([2]ORÇAMENTO!$Y$15,1,0):OFFSET([2]ORÇAMENTO!$Y$267,-1,0)</definedName>
    <definedName name="Import.PLE" localSheetId="2" hidden="1">OFFSET([1]PLE!$G$15,1,1):OFFSET([1]PLE!$AG$65,-1,-1)</definedName>
    <definedName name="Import.PLE" hidden="1">OFFSET([2]PLE!$G$15,1,1):OFFSET([2]PLE!$AG$65,-1,-1)</definedName>
    <definedName name="Import.PLQ" localSheetId="2" hidden="1">OFFSET([1]CÁLCULO!$P$15,1,1):OFFSET([1]CÁLCULO!$AA$266,-1,-1)</definedName>
    <definedName name="Import.PLQ" hidden="1">OFFSET([2]CÁLCULO!$P$15,1,1):OFFSET([2]CÁLCULO!$AA$267,-1,-1)</definedName>
    <definedName name="Import.PLQ.MemCalc" localSheetId="2" hidden="1">OFFSET([1]CÁLCULO!$I$15,1,0):OFFSET([1]CÁLCULO!$I$266,-1,0)</definedName>
    <definedName name="Import.PLQ.MemCalc" hidden="1">OFFSET([2]CÁLCULO!$I$15,1,0):OFFSET([2]CÁLCULO!$I$267,-1,0)</definedName>
    <definedName name="Import.Proponente" localSheetId="2" hidden="1">[1]DADOS!$F$5</definedName>
    <definedName name="Import.Proponente" hidden="1">[2]DADOS!$F$5</definedName>
    <definedName name="Import.QCI.Divisao" localSheetId="2" hidden="1">OFFSET([1]QCI!$V$13,1,0):OFFSET([1]QCI!$V$24,-1,0)</definedName>
    <definedName name="Import.QCI.Divisao" hidden="1">OFFSET([2]QCI!$V$13,1,0):OFFSET([2]QCI!$V$24,-1,0)</definedName>
    <definedName name="Import.QCI.ItemInv" localSheetId="2" hidden="1">OFFSET([1]QCI!$E$13,1,0):OFFSET([1]QCI!$E$24,-1,0)</definedName>
    <definedName name="Import.QCI.ItemInv" hidden="1">OFFSET([2]QCI!$E$13,1,0):OFFSET([2]QCI!$E$24,-1,0)</definedName>
    <definedName name="Import.QCI.Qtde" localSheetId="2" hidden="1">OFFSET([1]QCI!$I$13,1,0):OFFSET([1]QCI!$I$24,-1,0)</definedName>
    <definedName name="Import.QCI.Qtde" hidden="1">OFFSET([2]QCI!$I$13,1,0):OFFSET([2]QCI!$I$24,-1,0)</definedName>
    <definedName name="Import.QCI.Situacao" localSheetId="2" hidden="1">OFFSET([1]QCI!$H$13,1,0):OFFSET([1]QCI!$H$24,-1,0)</definedName>
    <definedName name="Import.QCI.Situacao" hidden="1">OFFSET([2]QCI!$H$13,1,0):OFFSET([2]QCI!$H$24,-1,0)</definedName>
    <definedName name="Import.QCI.SubItemInv" localSheetId="2" hidden="1">OFFSET([1]QCI!$F$13,1,0):OFFSET([1]QCI!$F$24,-1,0)</definedName>
    <definedName name="Import.QCI.SubItemInv" hidden="1">OFFSET([2]QCI!$F$13,1,0):OFFSET([2]QCI!$F$24,-1,0)</definedName>
    <definedName name="Import.QCICP" localSheetId="2" hidden="1">OFFSET([1]QCI!$W$13,1,0):OFFSET([1]QCI!$W$24,-1,0)</definedName>
    <definedName name="Import.QCICP" hidden="1">OFFSET([2]QCI!$W$13,1,0):OFFSET([2]QCI!$W$24,-1,0)</definedName>
    <definedName name="Import.QCIDesc" localSheetId="2" hidden="1">OFFSET([1]QCI!$R$13,1,0):OFFSET([1]QCI!$R$24,-1,0)</definedName>
    <definedName name="Import.QCIDesc" hidden="1">OFFSET([2]QCI!$R$13,1,0):OFFSET([2]QCI!$R$24,-1,0)</definedName>
    <definedName name="Import.QCIInv" localSheetId="2" hidden="1">OFFSET([1]QCI!$U$13,1,0):OFFSET([1]QCI!$U$24,-1,0)</definedName>
    <definedName name="Import.QCIInv" hidden="1">OFFSET([2]QCI!$U$13,1,0):OFFSET([2]QCI!$U$24,-1,0)</definedName>
    <definedName name="Import.QCILote" localSheetId="2" hidden="1">OFFSET([1]QCI!$T$13,1,0):OFFSET([1]QCI!$T$24,-1,0)</definedName>
    <definedName name="Import.QCILote" hidden="1">OFFSET([2]QCI!$T$13,1,0):OFFSET([2]QCI!$T$24,-1,0)</definedName>
    <definedName name="Import.QCIOutros" localSheetId="2" hidden="1">OFFSET([1]QCI!$X$13,1,0):OFFSET([1]QCI!$X$24,-1,0)</definedName>
    <definedName name="Import.QCIOutros" hidden="1">OFFSET([2]QCI!$X$13,1,0):OFFSET([2]QCI!$X$24,-1,0)</definedName>
    <definedName name="Import.Quantidade" localSheetId="2" hidden="1">OFFSET([1]ORÇAMENTO!$AJ$15,1,0):OFFSET([1]ORÇAMENTO!$AJ$266,-1,0)</definedName>
    <definedName name="Import.Quantidade" hidden="1">OFFSET([2]ORÇAMENTO!$AJ$15,1,0):OFFSET([2]ORÇAMENTO!$AJ$267,-1,0)</definedName>
    <definedName name="import.recurso" localSheetId="2" hidden="1">[1]DADOS!$F$4</definedName>
    <definedName name="import.recurso" hidden="1">[2]DADOS!$F$4</definedName>
    <definedName name="Import.RegimeExecução" localSheetId="2" hidden="1">OFFSET([1]DADOS!$G$40,0,-1)</definedName>
    <definedName name="Import.RegimeExecução" hidden="1">OFFSET([2]DADOS!$G$39,0,-1)</definedName>
    <definedName name="Import.Repasse" localSheetId="2" hidden="1">[1]DADOS!$F$9</definedName>
    <definedName name="Import.Repasse" hidden="1">[2]DADOS!$F$9</definedName>
    <definedName name="Import.RespFiscalização" localSheetId="2" hidden="1">[1]DADOS!$F$51:$F$54</definedName>
    <definedName name="Import.RespFiscalização" hidden="1">[2]DADOS!$F$50:$F$53</definedName>
    <definedName name="Import.RespOrçamento" localSheetId="2" hidden="1">[1]DADOS!$F$22:$F$24</definedName>
    <definedName name="Import.RespOrçamento" hidden="1">[2]DADOS!$F$22:$F$24</definedName>
    <definedName name="Import.SICONV" hidden="1">[2]DADOS!$F$8</definedName>
    <definedName name="Import.TipoArredondamento" hidden="1">[1]DADOS!$F$31</definedName>
    <definedName name="Import.TransfereGOV" hidden="1">[1]DADOS!$F$8</definedName>
    <definedName name="Import.Unidade" localSheetId="2" hidden="1">OFFSET([1]ORÇAMENTO!$S$15,1,0):OFFSET([1]ORÇAMENTO!$S$266,-1,0)</definedName>
    <definedName name="Import.Unidade" hidden="1">OFFSET([2]ORÇAMENTO!$S$15,1,0):OFFSET([2]ORÇAMENTO!$S$267,-1,0)</definedName>
    <definedName name="Import.UnitarioLicitado" localSheetId="2" hidden="1">OFFSET([1]ORÇAMENTO!$AL$15,1,0):OFFSET([1]ORÇAMENTO!$AL$266,-1,0)</definedName>
    <definedName name="Import.UnitarioLicitado" hidden="1">OFFSET([2]ORÇAMENTO!$AL$15,1,0):OFFSET([2]ORÇAMENTO!$AL$267,-1,0)</definedName>
    <definedName name="insumos">[6]INSUMOS!$A$1:$D$786</definedName>
    <definedName name="Item" localSheetId="1">#REF!</definedName>
    <definedName name="Item">#REF!</definedName>
    <definedName name="joa" localSheetId="1">#REF!</definedName>
    <definedName name="joa">#REF!</definedName>
    <definedName name="JR_PAGE_ANCHOR_0_1" localSheetId="2">#REF!</definedName>
    <definedName name="JR_PAGE_ANCHOR_0_1" localSheetId="1">#REF!</definedName>
    <definedName name="JR_PAGE_ANCHOR_0_1">#REF!</definedName>
    <definedName name="LALA">[5]!PassaExtenso</definedName>
    <definedName name="LALU">[5]!PassaExtenso</definedName>
    <definedName name="Local" localSheetId="1">#REF!</definedName>
    <definedName name="Local">#REF!</definedName>
    <definedName name="maia" localSheetId="1">#REF!</definedName>
    <definedName name="maia">#REF!</definedName>
    <definedName name="mel" localSheetId="1">#REF!</definedName>
    <definedName name="mel">#REF!</definedName>
    <definedName name="melissa">[7]Orcamento!$B$7:$C$268</definedName>
    <definedName name="MENU.CRONO" localSheetId="2" hidden="1">OFFSET([1]CRONO!$T$11,1,0)</definedName>
    <definedName name="MENU.CRONO" hidden="1">OFFSET([2]CRONO!$T$11,1,0)</definedName>
    <definedName name="Objeto" localSheetId="2" hidden="1">[1]MENU!$J$1</definedName>
    <definedName name="Objeto" hidden="1">[2]MENU!$J$1</definedName>
    <definedName name="orca">[7]Orcamento!$B$9:$C$149</definedName>
    <definedName name="ORÇAMENTO.BancoRef" localSheetId="2" hidden="1">[1]ORÇAMENTO!$F$8</definedName>
    <definedName name="ORÇAMENTO.BancoRef" hidden="1">[2]ORÇAMENTO!$F$8</definedName>
    <definedName name="ORÇAMENTO.CodBarra" localSheetId="2" hidden="1">IF(BDI!ORÇAMENTO.Fonte="Sinapi",SUBSTITUTE(SUBSTITUTE(BDI!ORÇAMENTO.Codigo,"/00","/"),"/0","/"),BDI!ORÇAMENTO.Codigo)</definedName>
    <definedName name="ORÇAMENTO.CodBarra" localSheetId="1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localSheetId="2" hidden="1">[1]ORÇAMENTO!$Q1</definedName>
    <definedName name="ORÇAMENTO.Codigo" hidden="1">[2]ORÇAMENTO!$Q1</definedName>
    <definedName name="ORÇAMENTO.CustoUnitario" localSheetId="2" hidden="1">ROUND([1]ORÇAMENTO!$U1,15-13*[1]ORÇAMENTO!$AF$8)</definedName>
    <definedName name="ORÇAMENTO.CustoUnitario" hidden="1">ROUND([2]ORÇAMENTO!$U1,15-13*[2]ORÇAMENTO!$AF$8)</definedName>
    <definedName name="ORÇAMENTO.Descricao" localSheetId="2" hidden="1">[1]ORÇAMENTO!$R1</definedName>
    <definedName name="ORÇAMENTO.Descricao" hidden="1">[2]ORÇAMENTO!$R1</definedName>
    <definedName name="ORÇAMENTO.Fonte" localSheetId="2" hidden="1">[1]ORÇAMENTO!$P1</definedName>
    <definedName name="ORÇAMENTO.Fonte" hidden="1">[2]ORÇAMENTO!$P1</definedName>
    <definedName name="ORÇAMENTO.ListaCrono" localSheetId="2" hidden="1">OFFSET([1]ORÇAMENTO!$AD$15,1,0):OFFSET([1]ORÇAMENTO!$AD$266,-1,0)</definedName>
    <definedName name="ORÇAMENTO.ListaCrono" hidden="1">OFFSET([2]ORÇAMENTO!$AD$15,1,0):OFFSET([2]ORÇAMENTO!$AD$267,-1,0)</definedName>
    <definedName name="ORÇAMENTO.MáximoListaCrono" localSheetId="2" hidden="1">MAX(BDI!ORÇAMENTO.ListaCrono)</definedName>
    <definedName name="ORÇAMENTO.MáximoListaCrono" localSheetId="1" hidden="1">MAX(ORÇAMENTO.ListaCrono)</definedName>
    <definedName name="ORÇAMENTO.MáximoListaCrono" hidden="1">MAX(ORÇAMENTO.ListaCrono)</definedName>
    <definedName name="ORÇAMENTO.Nivel" localSheetId="2" hidden="1">[1]ORÇAMENTO!$M1</definedName>
    <definedName name="ORÇAMENTO.Nivel" hidden="1">[2]ORÇAMENTO!$M1</definedName>
    <definedName name="ORÇAMENTO.OpcaoBDI" localSheetId="2" hidden="1">[1]ORÇAMENTO!$V1</definedName>
    <definedName name="ORÇAMENTO.OpcaoBDI" hidden="1">[2]ORÇAMENTO!$V1</definedName>
    <definedName name="ORÇAMENTO.PasteFormat1" localSheetId="2" hidden="1">OFFSET([1]ORÇAMENTO!$P$15,1,0):OFFSET([1]ORÇAMENTO!$S$266,-1,0)</definedName>
    <definedName name="ORÇAMENTO.PasteFormat1" hidden="1">OFFSET([2]ORÇAMENTO!$P$15,1,0):OFFSET([2]ORÇAMENTO!$S$267,-1,0)</definedName>
    <definedName name="ORÇAMENTO.PasteFormat2" localSheetId="2" hidden="1">OFFSET([1]ORÇAMENTO!$U$15,1,0):OFFSET([1]ORÇAMENTO!$V$266,-1,0)</definedName>
    <definedName name="ORÇAMENTO.PasteFormat2" hidden="1">OFFSET([2]ORÇAMENTO!$U$15,1,0):OFFSET([2]ORÇAMENTO!$V$267,-1,0)</definedName>
    <definedName name="ORÇAMENTO.PrecoUnitarioLicitado" localSheetId="2" hidden="1">[1]ORÇAMENTO!$AL1</definedName>
    <definedName name="ORÇAMENTO.PrecoUnitarioLicitado" hidden="1">[2]ORÇAMENTO!$AL1</definedName>
    <definedName name="ORÇAMENTO.RangeQuant" localSheetId="2" hidden="1">OFFSET([1]ORÇAMENTO!$T$15,1,0):OFFSET([1]ORÇAMENTO!$T$266,-1,0)</definedName>
    <definedName name="ORÇAMENTO.RangeQuant" hidden="1">OFFSET([2]ORÇAMENTO!$T$15,1,0):OFFSET([2]ORÇAMENTO!$T$267,-1,0)</definedName>
    <definedName name="ORÇAMENTO.SumCPMANUAL" localSheetId="2" hidden="1">SUMIF([1]ORÇAMENTO!$Z$15:$Z$266,"CP",[1]ORÇAMENTO!$AA$15:$AA$266)</definedName>
    <definedName name="ORÇAMENTO.SumCPMANUAL" hidden="1">SUMIF([2]ORÇAMENTO!$Z$15:$Z$267,"CP",[2]ORÇAMENTO!$AA$15:$AA$267)</definedName>
    <definedName name="ORÇAMENTO.SumINVMANUAL" localSheetId="2" hidden="1">SUMIF([1]ORÇAMENTO!$Z$15:$Z$266,"RP",[1]ORÇAMENTO!$X$15:$X$266)+SUMIF([1]ORÇAMENTO!$Z$15:$Z$266,"CP",[1]ORÇAMENTO!$X$15:$X$266)+SUMIF([1]ORÇAMENTO!$Z$15:$Z$266,"OU",[1]ORÇAMENTO!$X$15:$X$266)</definedName>
    <definedName name="ORÇAMENTO.SumINVMANUAL" hidden="1">SUMIF([2]ORÇAMENTO!$Z$15:$Z$267,"RP",[2]ORÇAMENTO!$X$15:$X$267)+SUMIF([2]ORÇAMENTO!$Z$15:$Z$267,"CP",[2]ORÇAMENTO!$X$15:$X$267)+SUMIF([2]ORÇAMENTO!$Z$15:$Z$267,"OU",[2]ORÇAMENTO!$X$15:$X$267)</definedName>
    <definedName name="ORÇAMENTO.SumOUTROSMANUAL" localSheetId="2" hidden="1">SUMIF([1]ORÇAMENTO!$Z$15:$Z$266,"OU",[1]ORÇAMENTO!$AB$15:$AB$266)</definedName>
    <definedName name="ORÇAMENTO.SumOUTROSMANUAL" hidden="1">SUMIF([2]ORÇAMENTO!$Z$15:$Z$267,"OU",[2]ORÇAMENTO!$AB$15:$AB$267)</definedName>
    <definedName name="ORÇAMENTO.SumREPASSEMANUAL" localSheetId="2" hidden="1">BDI!ORÇAMENTO.SumINVMANUAL-BDI!ORÇAMENTO.SumCPMANUAL-BDI!ORÇAMENTO.SumOUTROSMANUAL</definedName>
    <definedName name="ORÇAMENTO.SumREPASSEMANUAL" localSheetId="1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localSheetId="2" hidden="1">[1]ORÇAMENTO!$S1</definedName>
    <definedName name="ORÇAMENTO.Unidade" hidden="1">[2]ORÇAMENTO!$S1</definedName>
    <definedName name="PassaExtenso">[8]!PassaExtenso</definedName>
    <definedName name="plan" localSheetId="1">#REF!</definedName>
    <definedName name="plan">#REF!</definedName>
    <definedName name="Plano" localSheetId="1">#REF!</definedName>
    <definedName name="Plano">#REF!</definedName>
    <definedName name="PLE.firstrow" localSheetId="2" hidden="1">[1]PLE!$15:$15</definedName>
    <definedName name="PLE.firstrow" hidden="1">[2]PLE!$15:$15</definedName>
    <definedName name="PLE.lastrow" localSheetId="2" hidden="1">[1]PLE!$65:$65</definedName>
    <definedName name="PLE.lastrow" hidden="1">[2]PLE!$65:$65</definedName>
    <definedName name="PLE.Medicao" localSheetId="2" hidden="1">[1]PLE!$J$9</definedName>
    <definedName name="PLE.Medicao" hidden="1">[2]PLE!$J$9</definedName>
    <definedName name="PLE.ValorDoEvento" localSheetId="2" hidden="1">SUMIF([1]CÁLCULO!$M$15:$M$266,[1]PLE!$B1,OFFSET([1]CÁLCULO!$AA$15:$AA$266,0,[1]PLE!A$12))</definedName>
    <definedName name="PLE.ValorDoEvento" hidden="1">SUMIF([2]CÁLCULO!$M$15:$M$267,[2]PLE!$B1,OFFSET([2]CÁLCULO!$AA$15:$AA$267,0,[2]PLE!A$12))</definedName>
    <definedName name="PO.ValoresBDI" localSheetId="2" hidden="1">OFFSET([1]ORÇAMENTO!$AH$15,1,0):OFFSET([1]ORÇAMENTO!$AH$266,-1,0)</definedName>
    <definedName name="PO.ValoresBDI" hidden="1">OFFSET([2]ORÇAMENTO!$AH$15,1,0):OFFSET([2]ORÇAMENTO!$AH$267,-1,0)</definedName>
    <definedName name="QCI.CPManual" localSheetId="2" hidden="1">ROUND([1]QCI!$W1,2)</definedName>
    <definedName name="QCI.CPManual" hidden="1">ROUND([2]QCI!$W1,2)</definedName>
    <definedName name="QCI.DescManual" localSheetId="2" hidden="1">[1]QCI!$R1</definedName>
    <definedName name="QCI.DescManual" hidden="1">[2]QCI!$R1</definedName>
    <definedName name="QCI.Divisao" localSheetId="2" hidden="1">[1]QCI!$V1</definedName>
    <definedName name="QCI.Divisao" hidden="1">[2]QCI!$V1</definedName>
    <definedName name="QCI.ExisteManual" localSheetId="2" hidden="1">(COUNTIF([1]QCI!$B$13:$B$24,"Manual")+COUNTIF([1]QCI!$B$13:$B$24,"SemiAuto"))&gt;0</definedName>
    <definedName name="QCI.ExisteManual" hidden="1">(COUNTIF([2]QCI!$B$13:$B$24,"Manual")+COUNTIF([2]QCI!$B$13:$B$24,"SemiAuto"))&gt;0</definedName>
    <definedName name="QCI.InvManual" localSheetId="2" hidden="1">ROUND([1]QCI!$U1,2)</definedName>
    <definedName name="QCI.InvManual" hidden="1">ROUND([2]QCI!$U1,2)</definedName>
    <definedName name="QCI.ItemInvestimento" localSheetId="2" hidden="1">OFFSET([1]DADOS!$J$2,1,0,COUNTA([1]DADOS!$J:$J)-1,1)</definedName>
    <definedName name="QCI.ItemInvestimento" hidden="1">OFFSET([2]DADOS!$J$2,1,0,COUNTA([2]DADOS!$J:$J)-1,1)</definedName>
    <definedName name="QCI.LoteManual" localSheetId="2" hidden="1">[1]QCI!$T1</definedName>
    <definedName name="QCI.LoteManual" hidden="1">[2]QCI!$T1</definedName>
    <definedName name="QCI.MaxCPManual" localSheetId="2" hidden="1">[1]QCI!$O1-[1]QCI!$X1</definedName>
    <definedName name="QCI.MaxCPManual" hidden="1">[2]QCI!$O1-[2]QCI!$X1</definedName>
    <definedName name="QCI.MaxOUManual" localSheetId="2" hidden="1">[1]QCI!$O1-[1]QCI!$W1</definedName>
    <definedName name="QCI.MaxOUManual" hidden="1">[2]QCI!$O1-[2]QCI!$W1</definedName>
    <definedName name="QCI.OutrosManual" localSheetId="2" hidden="1">ROUND([1]QCI!$X1,2)</definedName>
    <definedName name="QCI.OutrosManual" hidden="1">ROUND([2]QCI!$X1,2)</definedName>
    <definedName name="QCI.SubItemInvestimento" localSheetId="2" hidden="1">OFFSET([1]DADOS!$A$2,1,MATCH([1]QCI!$E1,[1]DADOS!$2:$2,0)-1,INDEX([1]DADOS!$2:$2,MATCH([1]QCI!$E1,[1]DADOS!$2:$2,0)+1))</definedName>
    <definedName name="QCI.SubItemInvestimento" hidden="1">OFFSET([2]DADOS!$A$2,1,MATCH([2]QCI!$E1,[2]DADOS!$2:$2,0)-1,INDEX([2]DADOS!$2:$2,MATCH([2]QCI!$E1,[2]DADOS!$2:$2,0)+1))</definedName>
    <definedName name="QCI.SumCPMANUAL" localSheetId="2" hidden="1">SUMIF([1]QCI!$B$13:$B$24,"Manual",[1]QCI!$AA$13:$AA$24)</definedName>
    <definedName name="QCI.SumCPMANUAL" hidden="1">SUMIF([2]QCI!$B$13:$B$24,"Manual",[2]QCI!$AA$13:$AA$24)</definedName>
    <definedName name="QCI.SumINVMANUAL" localSheetId="2" hidden="1">SUMIF([1]QCI!$B$13:$B$24,"Manual",[1]QCI!$O$13:$O$24)</definedName>
    <definedName name="QCI.SumINVMANUAL" hidden="1">SUMIF([2]QCI!$B$13:$B$24,"Manual",[2]QCI!$O$13:$O$24)</definedName>
    <definedName name="QCI.SumOUTROSMANUAL" localSheetId="2" hidden="1">SUMIF([1]QCI!$B$13:$B$24,"Manual",[1]QCI!$AB$13:$AB$24)</definedName>
    <definedName name="QCI.SumOUTROSMANUAL" hidden="1">SUMIF([2]QCI!$B$13:$B$24,"Manual",[2]QCI!$AB$13:$AB$24)</definedName>
    <definedName name="QCI.SumREPASSEMANUAL" localSheetId="2" hidden="1">BDI!QCI.SumINVMANUAL-BDI!QCI.CPManual-BDI!QCI.OutrosManual</definedName>
    <definedName name="QCI.SumREPASSEMANUAL" localSheetId="1" hidden="1">QCI.SumINVMANUAL-QCI.CPManual-QCI.OutrosManual</definedName>
    <definedName name="QCI.SumREPASSEMANUAL" hidden="1">QCI.SumINVMANUAL-QCI.CPManual-QCI.OutrosManual</definedName>
    <definedName name="REFERENCIA.Descricao" localSheetId="2" hidden="1">IF(ISNUMBER([1]ORÇAMENTO!$AF1),OFFSET(INDIRECT(BDI!ORÇAMENTO.BancoRef),[1]ORÇAMENTO!$AF1-1,3,1),[1]ORÇAMENTO!$AF1)</definedName>
    <definedName name="REFERENCIA.Descricao" localSheetId="1" hidden="1">IF(ISNUMBER([2]ORÇAMENTO!$AF1),OFFSET(INDIRECT(ORÇAMENTO.BancoRef),[2]ORÇAMENTO!$AF1-1,3,1),[2]ORÇAMENTO!$AF1)</definedName>
    <definedName name="REFERENCIA.Descricao" hidden="1">IF(ISNUMBER([2]ORÇAMENTO!$AF1),OFFSET(INDIRECT(ORÇAMENTO.BancoRef),[2]ORÇAMENTO!$AF1-1,3,1),[2]ORÇAMENTO!$AF1)</definedName>
    <definedName name="REFERENCIA.Desonerado" localSheetId="2" hidden="1">IF(ISNUMBER([1]ORÇAMENTO!$AF1),VALUE(OFFSET(INDIRECT(BDI!ORÇAMENTO.BancoRef),[1]ORÇAMENTO!$AF1-1,5,1)),0)</definedName>
    <definedName name="REFERENCIA.Desonerado" localSheetId="1" hidden="1">IF(ISNUMBER([2]ORÇAMENTO!$AF1),VALUE(OFFSET(INDIRECT(ORÇAMENTO.BancoRef),[2]ORÇAMENTO!$AF1-1,5,1)),0)</definedName>
    <definedName name="REFERENCIA.Desonerado" hidden="1">IF(ISNUMBER([2]ORÇAMENTO!$AF1),VALUE(OFFSET(INDIRECT(ORÇAMENTO.BancoRef),[2]ORÇAMENTO!$AF1-1,5,1)),0)</definedName>
    <definedName name="REFERENCIA.NaoDesonerado" localSheetId="2" hidden="1">IF(ISNUMBER([1]ORÇAMENTO!$AF1),VALUE(OFFSET(INDIRECT(BDI!ORÇAMENTO.BancoRef),[1]ORÇAMENTO!$AF1-1,6,1)),0)</definedName>
    <definedName name="REFERENCIA.NaoDesonerado" localSheetId="1" hidden="1">IF(ISNUMBER([2]ORÇAMENTO!$AF1),VALUE(OFFSET(INDIRECT(ORÇAMENTO.BancoRef),[2]ORÇAMENTO!$AF1-1,6,1)),0)</definedName>
    <definedName name="REFERENCIA.NaoDesonerado" hidden="1">IF(ISNUMBER([2]ORÇAMENTO!$AF1),VALUE(OFFSET(INDIRECT(ORÇAMENTO.BancoRef),[2]ORÇAMENTO!$AF1-1,6,1)),0)</definedName>
    <definedName name="REFERENCIA.Unidade" localSheetId="2" hidden="1">IF(ISNUMBER([1]ORÇAMENTO!$AF1),OFFSET(INDIRECT(BDI!ORÇAMENTO.BancoRef),[1]ORÇAMENTO!$AF1-1,4,1),"-")</definedName>
    <definedName name="REFERENCIA.Unidade" localSheetId="1" hidden="1">IF(ISNUMBER([2]ORÇAMENTO!$AF1),OFFSET(INDIRECT(ORÇAMENTO.BancoRef),[2]ORÇAMENTO!$AF1-1,4,1),"-")</definedName>
    <definedName name="REFERENCIA.Unidade" hidden="1">IF(ISNUMBER([2]ORÇAMENTO!$AF1),OFFSET(INDIRECT(ORÇAMENTO.BancoRef),[2]ORÇAMENTO!$AF1-1,4,1),"-")</definedName>
    <definedName name="RegimeExecucao" localSheetId="2" hidden="1">IF(OR(BDI!Import.RegimeExecução="",BDI!Import.RegimeExecução="Empreitada por Preço Global",BDI!Import.RegimeExecução="Empreitada Integral"),"Global","Unitário")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RE.MaxCPAcum" localSheetId="2" hidden="1">[1]RRE!$AD$26</definedName>
    <definedName name="RRE.MaxCPAcum" hidden="1">[2]RRE!$AD$26</definedName>
    <definedName name="RRE.MaxCPAnt" localSheetId="2" hidden="1">[1]RRE!$AC$26</definedName>
    <definedName name="RRE.MaxCPAnt" hidden="1">[2]RRE!$AC$26</definedName>
    <definedName name="RRE.MaxOUAcum" localSheetId="2" hidden="1">[1]RRE!$AD$27</definedName>
    <definedName name="RRE.MaxOUAcum" hidden="1">[2]RRE!$AD$27</definedName>
    <definedName name="RRE.MaxOUAnt" localSheetId="2" hidden="1">[1]RRE!$AC$27</definedName>
    <definedName name="RRE.MaxOUAnt" hidden="1">[2]RRE!$AC$27</definedName>
    <definedName name="RRE.Numero" localSheetId="2" hidden="1">OFFSET([1]RRE!$O$7,0,1)</definedName>
    <definedName name="RRE.Numero" hidden="1">OFFSET([2]RRE!$O$7,0,1)</definedName>
    <definedName name="RRE.VIMeta" localSheetId="2" hidden="1">[1]RRE!$L1</definedName>
    <definedName name="RRE.VIMeta" hidden="1">[2]RRE!$L1</definedName>
    <definedName name="SENHAGT" hidden="1">"PM3CAIXA"</definedName>
    <definedName name="SIIG" localSheetId="1">#REF!</definedName>
    <definedName name="SIIG">#REF!</definedName>
    <definedName name="SomaAgrup" localSheetId="2" hidden="1">SUMIF(OFFSET([1]ORÇAMENTO!$C1,1,0,[1]ORÇAMENTO!$D1),"S",OFFSET([1]ORÇAMENTO!A1,1,0,[1]ORÇAMENTO!$D1))</definedName>
    <definedName name="SomaAgrup" hidden="1">SUMIF(OFFSET([2]ORÇAMENTO!$C1,1,0,[2]ORÇAMENTO!$D1),"S",OFFSET([2]ORÇAMENTO!A1,1,0,[2]ORÇAMENTO!$D1))</definedName>
    <definedName name="SomaAgrupBM" localSheetId="2" hidden="1">SUMIF(OFFSET([1]BM!$A1,1,0,[1]BM!$B1),"S",OFFSET([1]BM!A1,1,0,[1]BM!$B1))</definedName>
    <definedName name="SomaAgrupBM" hidden="1">SUMIF(OFFSET([2]BM!$A1,1,0,[2]BM!$B1),"S",OFFSET([2]BM!A1,1,0,[2]BM!$B1))</definedName>
    <definedName name="TAB.">'[9]PLANILHA FONTE'!$B$2:$G$197</definedName>
    <definedName name="TABELA">'[10]PLANILHA FONTE'!$B$1:$G$290</definedName>
    <definedName name="TABELA.">'[9]PLANILHA FONTE'!$B$2:$G$197</definedName>
    <definedName name="TABELAA">'[9]PLANILHA FONTE'!$B$2:$G$197</definedName>
    <definedName name="TIPOORCAMENTO" localSheetId="2" hidden="1">IF(VALUE([1]MENU!$O$3)=2,"Licitado","Proposto")</definedName>
    <definedName name="TIPOORCAMENTO" hidden="1">IF(VALUE([2]MENU!$O$3)=2,"Licitado","Proposto")</definedName>
    <definedName name="_xlnm.Print_Titles" localSheetId="2">BDI!$1:$13</definedName>
    <definedName name="TONINHO" localSheetId="1">#REF!</definedName>
    <definedName name="TONINHO">#REF!</definedName>
    <definedName name="TY" localSheetId="1">#REF!</definedName>
    <definedName name="TY">#REF!</definedName>
    <definedName name="Unidade" localSheetId="1">#REF!</definedName>
    <definedName name="Unidade">#REF!</definedName>
    <definedName name="Versao" localSheetId="2" hidden="1">[1]MENU!$J$2</definedName>
    <definedName name="Versao" hidden="1">[2]MENU!$J$2</definedName>
    <definedName name="VTOTAL1" localSheetId="2" hidden="1">ROUND([1]ORÇAMENTO!$T1*[1]ORÇAMENTO!$W1,15-13*[1]ORÇAMENTO!$AF$11)</definedName>
    <definedName name="VTOTAL1" hidden="1">ROUND([2]ORÇAMENTO!$T1*[2]ORÇAMENTO!$W1,15-13*[2]ORÇAMENTO!$AF$11)</definedName>
    <definedName name="VTOTALBM" localSheetId="2" hidden="1">IF([1]BM!$I1=0,0,CHOOSE(MATCH(BDI!RegimeExecucao,{"Global","Unitário"},0),ROUND(ROUND([1]BM!XFB1,15-13*[1]BM!$A$9)/100*[1]BM!$I1,15-13*[1]ORÇAMENTO!$AF$11),ROUND(ROUND([1]BM!XFB1,15-13*[1]BM!$A$9)*ROUND([1]BM!$H1,15-13*[1]ORÇAMENTO!$AF$10),15-13*[1]ORÇAMENTO!$AF$11)))</definedName>
    <definedName name="VTOTALBM" localSheetId="1" hidden="1">IF([2]BM!$I1=0,0,CHOOSE(MATCH('CRONO CAIXA'!RegimeExecucao,{"Global","Unitário"},0),ROUND(ROUND([2]BM!IT1,15-13*[2]BM!$A$9)/100*[2]BM!$I1,15-13*[2]ORÇAMENTO!$AF$11),ROUND(ROUND([2]BM!IT1,15-13*[2]BM!$A$9)*ROUND([2]BM!$H1,15-13*[2]ORÇAMENTO!$AF$10),15-13*[2]ORÇAMENTO!$AF$11)))</definedName>
    <definedName name="VTOTALBM" hidden="1">IF([2]BM!$I1=0,0,CHOOSE(MATCH(RegimeExecucao,{"Global","Unitário"},0),ROUND(ROUND([2]BM!IT1,15-13*[2]BM!$A$9)/100*[2]BM!$I1,15-13*[2]ORÇAMENTO!$AF$11),ROUND(ROUND([2]BM!IT1,15-13*[2]BM!$A$9)*ROUND([2]BM!$H1,15-13*[2]ORÇAMENTO!$AF$10),15-13*[2]ORÇAMENTO!$AF$11)))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1" i="37" l="1"/>
  <c r="X32" i="37"/>
  <c r="X31" i="37"/>
  <c r="AB12" i="37"/>
  <c r="V18" i="37"/>
  <c r="V17" i="37"/>
  <c r="P19" i="37"/>
  <c r="L14" i="37"/>
  <c r="AB22" i="37"/>
  <c r="AB35" i="37"/>
  <c r="Z33" i="37"/>
  <c r="X24" i="37"/>
  <c r="Z24" i="37" s="1"/>
  <c r="V26" i="37"/>
  <c r="V23" i="37"/>
  <c r="K130" i="38" l="1" a="1"/>
  <c r="K132" i="38" s="1"/>
  <c r="P125" i="38"/>
  <c r="J125" i="38"/>
  <c r="J120" i="38"/>
  <c r="J118" i="38"/>
  <c r="N115" i="38"/>
  <c r="S108" i="38"/>
  <c r="S107" i="38"/>
  <c r="R105" i="38"/>
  <c r="J105" i="38"/>
  <c r="R104" i="38"/>
  <c r="J104" i="38"/>
  <c r="R103" i="38"/>
  <c r="J103" i="38"/>
  <c r="R102" i="38"/>
  <c r="J102" i="38"/>
  <c r="R101" i="38"/>
  <c r="J101" i="38"/>
  <c r="K90" i="38" a="1"/>
  <c r="K90" i="38" s="1"/>
  <c r="P85" i="38"/>
  <c r="J85" i="38"/>
  <c r="J80" i="38"/>
  <c r="J78" i="38"/>
  <c r="N75" i="38"/>
  <c r="S68" i="38"/>
  <c r="S67" i="38"/>
  <c r="S69" i="38" s="1"/>
  <c r="R65" i="38"/>
  <c r="J65" i="38"/>
  <c r="R64" i="38"/>
  <c r="J64" i="38"/>
  <c r="R63" i="38"/>
  <c r="J63" i="38"/>
  <c r="R62" i="38"/>
  <c r="J62" i="38"/>
  <c r="R61" i="38"/>
  <c r="J61" i="38"/>
  <c r="K50" i="38" a="1"/>
  <c r="K52" i="38" s="1"/>
  <c r="C46" i="38"/>
  <c r="A46" i="38"/>
  <c r="A47" i="38" s="1"/>
  <c r="P45" i="38"/>
  <c r="J45" i="38"/>
  <c r="C45" i="38"/>
  <c r="A45" i="38"/>
  <c r="C44" i="38"/>
  <c r="C43" i="38"/>
  <c r="C42" i="38"/>
  <c r="C41" i="38"/>
  <c r="J40" i="38"/>
  <c r="C40" i="38"/>
  <c r="C39" i="38"/>
  <c r="J38" i="38"/>
  <c r="C38" i="38"/>
  <c r="N35" i="38"/>
  <c r="C33" i="38"/>
  <c r="A33" i="38"/>
  <c r="A34" i="38" s="1"/>
  <c r="C32" i="38"/>
  <c r="S28" i="38"/>
  <c r="A28" i="38"/>
  <c r="A29" i="38" s="1"/>
  <c r="S27" i="38"/>
  <c r="S29" i="38" s="1"/>
  <c r="A27" i="38"/>
  <c r="C27" i="38" s="1"/>
  <c r="C26" i="38"/>
  <c r="R25" i="38"/>
  <c r="J25" i="38"/>
  <c r="R24" i="38"/>
  <c r="J24" i="38"/>
  <c r="R23" i="38"/>
  <c r="J23" i="38"/>
  <c r="A23" i="38"/>
  <c r="C23" i="38" s="1"/>
  <c r="R22" i="38"/>
  <c r="J22" i="38"/>
  <c r="A22" i="38"/>
  <c r="C22" i="38" s="1"/>
  <c r="Z21" i="38"/>
  <c r="R21" i="38"/>
  <c r="Y21" i="38" s="1"/>
  <c r="J21" i="38"/>
  <c r="A21" i="38"/>
  <c r="C21" i="38" s="1"/>
  <c r="C20" i="38"/>
  <c r="A16" i="38"/>
  <c r="A17" i="38" s="1"/>
  <c r="C15" i="38"/>
  <c r="A15" i="38"/>
  <c r="C14" i="38"/>
  <c r="C13" i="38"/>
  <c r="C12" i="38"/>
  <c r="C11" i="38"/>
  <c r="C10" i="38"/>
  <c r="C9" i="38"/>
  <c r="J8" i="38"/>
  <c r="C8" i="38"/>
  <c r="N5" i="38"/>
  <c r="L5" i="38"/>
  <c r="J5" i="38"/>
  <c r="A3" i="38"/>
  <c r="A4" i="38" s="1"/>
  <c r="C2" i="38"/>
  <c r="O1" i="38"/>
  <c r="Z34" i="37"/>
  <c r="AB34" i="37" s="1"/>
  <c r="V30" i="37"/>
  <c r="T29" i="37"/>
  <c r="V29" i="37" s="1"/>
  <c r="T25" i="37"/>
  <c r="R23" i="37"/>
  <c r="T23" i="37" s="1"/>
  <c r="Z22" i="37"/>
  <c r="R21" i="37"/>
  <c r="X20" i="37"/>
  <c r="Z20" i="37" s="1"/>
  <c r="R18" i="37"/>
  <c r="T18" i="37" s="1"/>
  <c r="R17" i="37"/>
  <c r="T17" i="37" s="1"/>
  <c r="N16" i="37"/>
  <c r="P16" i="37" s="1"/>
  <c r="L15" i="37"/>
  <c r="N15" i="37" s="1"/>
  <c r="P15" i="37" s="1"/>
  <c r="J14" i="37"/>
  <c r="H14" i="37"/>
  <c r="H13" i="37"/>
  <c r="H12" i="37"/>
  <c r="J12" i="37" s="1"/>
  <c r="L12" i="37" s="1"/>
  <c r="N12" i="37" s="1"/>
  <c r="P12" i="37" s="1"/>
  <c r="R12" i="37" s="1"/>
  <c r="T12" i="37" s="1"/>
  <c r="V12" i="37" s="1"/>
  <c r="X12" i="37" s="1"/>
  <c r="Z12" i="37" s="1"/>
  <c r="S110" i="38" l="1"/>
  <c r="K50" i="38"/>
  <c r="I79" i="38"/>
  <c r="I92" i="38"/>
  <c r="I81" i="38"/>
  <c r="I91" i="38"/>
  <c r="I82" i="38"/>
  <c r="I69" i="38"/>
  <c r="I87" i="38"/>
  <c r="I71" i="38"/>
  <c r="I56" i="38"/>
  <c r="I64" i="38"/>
  <c r="I55" i="38"/>
  <c r="I88" i="38"/>
  <c r="I76" i="38"/>
  <c r="S70" i="38"/>
  <c r="A5" i="38"/>
  <c r="C4" i="38"/>
  <c r="A30" i="38"/>
  <c r="C29" i="38"/>
  <c r="A35" i="38"/>
  <c r="C34" i="38"/>
  <c r="A48" i="38"/>
  <c r="C47" i="38"/>
  <c r="C17" i="38"/>
  <c r="A18" i="38"/>
  <c r="I74" i="38"/>
  <c r="I80" i="38"/>
  <c r="K91" i="38"/>
  <c r="S109" i="38"/>
  <c r="I85" i="38"/>
  <c r="S30" i="38"/>
  <c r="K51" i="38"/>
  <c r="I60" i="38"/>
  <c r="I67" i="38"/>
  <c r="X21" i="38"/>
  <c r="I61" i="38"/>
  <c r="I65" i="38"/>
  <c r="A24" i="38"/>
  <c r="I54" i="38"/>
  <c r="I68" i="38"/>
  <c r="I70" i="38"/>
  <c r="I75" i="38"/>
  <c r="I86" i="38"/>
  <c r="K92" i="38"/>
  <c r="K130" i="38"/>
  <c r="K131" i="38"/>
  <c r="C16" i="38"/>
  <c r="C28" i="38"/>
  <c r="I57" i="38"/>
  <c r="I63" i="38"/>
  <c r="C3" i="38"/>
  <c r="I58" i="38"/>
  <c r="I78" i="38"/>
  <c r="I84" i="38"/>
  <c r="I90" i="38"/>
  <c r="I72" i="38"/>
  <c r="I77" i="38"/>
  <c r="I83" i="38"/>
  <c r="I89" i="38"/>
  <c r="I93" i="38"/>
  <c r="I59" i="38"/>
  <c r="I62" i="38"/>
  <c r="I66" i="38"/>
  <c r="I73" i="38"/>
  <c r="J5" i="21" l="1"/>
  <c r="I725" i="21" s="1"/>
  <c r="K725" i="21" s="1"/>
  <c r="A19" i="38"/>
  <c r="C19" i="38" s="1"/>
  <c r="C18" i="38"/>
  <c r="Z23" i="38"/>
  <c r="Y22" i="38"/>
  <c r="Z24" i="38"/>
  <c r="Z22" i="38"/>
  <c r="Y23" i="38"/>
  <c r="A49" i="38"/>
  <c r="C49" i="38" s="1"/>
  <c r="C48" i="38"/>
  <c r="X22" i="38"/>
  <c r="C24" i="38"/>
  <c r="A25" i="38"/>
  <c r="C25" i="38" s="1"/>
  <c r="A36" i="38"/>
  <c r="C35" i="38"/>
  <c r="X23" i="38"/>
  <c r="I132" i="38"/>
  <c r="I128" i="38"/>
  <c r="I122" i="38"/>
  <c r="I116" i="38"/>
  <c r="I111" i="38"/>
  <c r="I109" i="38"/>
  <c r="I96" i="38"/>
  <c r="I131" i="38"/>
  <c r="I127" i="38"/>
  <c r="I121" i="38"/>
  <c r="I104" i="38"/>
  <c r="I95" i="38"/>
  <c r="I105" i="38"/>
  <c r="I101" i="38"/>
  <c r="I100" i="38"/>
  <c r="I106" i="38"/>
  <c r="I99" i="38"/>
  <c r="I126" i="38"/>
  <c r="I115" i="38"/>
  <c r="I110" i="38"/>
  <c r="I108" i="38"/>
  <c r="I94" i="38"/>
  <c r="I107" i="38"/>
  <c r="I120" i="38"/>
  <c r="I114" i="38"/>
  <c r="I119" i="38"/>
  <c r="I113" i="38"/>
  <c r="I125" i="38"/>
  <c r="I130" i="38"/>
  <c r="I124" i="38"/>
  <c r="I118" i="38"/>
  <c r="I98" i="38"/>
  <c r="I102" i="38"/>
  <c r="I129" i="38"/>
  <c r="I123" i="38"/>
  <c r="I117" i="38"/>
  <c r="I112" i="38"/>
  <c r="I103" i="38"/>
  <c r="I97" i="38"/>
  <c r="C30" i="38"/>
  <c r="A31" i="38"/>
  <c r="C31" i="38" s="1"/>
  <c r="A6" i="38"/>
  <c r="C5" i="38"/>
  <c r="I61" i="21" l="1"/>
  <c r="I58" i="21"/>
  <c r="I233" i="21"/>
  <c r="I538" i="21"/>
  <c r="I232" i="21"/>
  <c r="I377" i="21"/>
  <c r="I370" i="21"/>
  <c r="I520" i="21"/>
  <c r="I87" i="21"/>
  <c r="I260" i="21"/>
  <c r="I429" i="21"/>
  <c r="I582" i="21"/>
  <c r="I100" i="21"/>
  <c r="K100" i="21" s="1"/>
  <c r="K97" i="21" s="1"/>
  <c r="I274" i="21"/>
  <c r="I415" i="21"/>
  <c r="K415" i="21" s="1"/>
  <c r="I593" i="21"/>
  <c r="I135" i="21"/>
  <c r="I610" i="21"/>
  <c r="I313" i="21"/>
  <c r="I604" i="21"/>
  <c r="I176" i="21"/>
  <c r="I327" i="21"/>
  <c r="I517" i="21"/>
  <c r="I664" i="21"/>
  <c r="I291" i="21"/>
  <c r="I445" i="21"/>
  <c r="I142" i="21"/>
  <c r="K142" i="21" s="1"/>
  <c r="K138" i="21" s="1"/>
  <c r="I437" i="21"/>
  <c r="I19" i="21"/>
  <c r="K19" i="21" s="1"/>
  <c r="I186" i="21"/>
  <c r="I349" i="21"/>
  <c r="K348" i="21" s="1"/>
  <c r="I516" i="21"/>
  <c r="I662" i="21"/>
  <c r="K662" i="21" s="1"/>
  <c r="I22" i="21"/>
  <c r="I70" i="21"/>
  <c r="I112" i="21"/>
  <c r="I151" i="21"/>
  <c r="I193" i="21"/>
  <c r="I236" i="21"/>
  <c r="I265" i="21"/>
  <c r="K265" i="21" s="1"/>
  <c r="I306" i="21"/>
  <c r="I359" i="21"/>
  <c r="I369" i="21"/>
  <c r="I433" i="21"/>
  <c r="I473" i="21"/>
  <c r="I515" i="21"/>
  <c r="I550" i="21"/>
  <c r="I573" i="21"/>
  <c r="K573" i="21" s="1"/>
  <c r="I596" i="21"/>
  <c r="K596" i="21" s="1"/>
  <c r="I675" i="21"/>
  <c r="K675" i="21" s="1"/>
  <c r="I30" i="21"/>
  <c r="K30" i="21" s="1"/>
  <c r="K27" i="21" s="1"/>
  <c r="I69" i="21"/>
  <c r="I107" i="21"/>
  <c r="K107" i="21" s="1"/>
  <c r="K104" i="21" s="1"/>
  <c r="I152" i="21"/>
  <c r="I191" i="21"/>
  <c r="I252" i="21"/>
  <c r="I275" i="21"/>
  <c r="K275" i="21" s="1"/>
  <c r="I323" i="21"/>
  <c r="I368" i="21"/>
  <c r="I398" i="21"/>
  <c r="I431" i="21"/>
  <c r="I471" i="21"/>
  <c r="I490" i="21"/>
  <c r="I546" i="21"/>
  <c r="I592" i="21"/>
  <c r="I632" i="21"/>
  <c r="I681" i="21"/>
  <c r="I75" i="21"/>
  <c r="I159" i="21"/>
  <c r="I251" i="21"/>
  <c r="I318" i="21"/>
  <c r="I403" i="21"/>
  <c r="I474" i="21"/>
  <c r="K474" i="21" s="1"/>
  <c r="I697" i="21"/>
  <c r="K697" i="21" s="1"/>
  <c r="I40" i="21"/>
  <c r="I122" i="21"/>
  <c r="K122" i="21" s="1"/>
  <c r="I158" i="21"/>
  <c r="I245" i="21"/>
  <c r="I333" i="21"/>
  <c r="I402" i="21"/>
  <c r="I468" i="21"/>
  <c r="I560" i="21"/>
  <c r="I570" i="21"/>
  <c r="I708" i="21"/>
  <c r="I46" i="21"/>
  <c r="I82" i="21"/>
  <c r="I129" i="21"/>
  <c r="I166" i="21"/>
  <c r="I213" i="21"/>
  <c r="I238" i="21"/>
  <c r="I296" i="21"/>
  <c r="I335" i="21"/>
  <c r="I355" i="21"/>
  <c r="I413" i="21"/>
  <c r="K413" i="21" s="1"/>
  <c r="I448" i="21"/>
  <c r="I488" i="21"/>
  <c r="I528" i="21"/>
  <c r="K528" i="21" s="1"/>
  <c r="I567" i="21"/>
  <c r="I608" i="21"/>
  <c r="I655" i="21"/>
  <c r="I723" i="21"/>
  <c r="I37" i="21"/>
  <c r="I116" i="21"/>
  <c r="I203" i="21"/>
  <c r="I283" i="21"/>
  <c r="I388" i="21"/>
  <c r="K388" i="21" s="1"/>
  <c r="I442" i="21"/>
  <c r="I499" i="21"/>
  <c r="I542" i="21"/>
  <c r="I584" i="21"/>
  <c r="I622" i="21"/>
  <c r="I84" i="21"/>
  <c r="I207" i="21"/>
  <c r="I286" i="21"/>
  <c r="I360" i="21"/>
  <c r="K360" i="21" s="1"/>
  <c r="I456" i="21"/>
  <c r="I513" i="21"/>
  <c r="I629" i="21"/>
  <c r="I53" i="21"/>
  <c r="I94" i="21"/>
  <c r="I128" i="21"/>
  <c r="I170" i="21"/>
  <c r="I220" i="21"/>
  <c r="K220" i="21" s="1"/>
  <c r="K216" i="21" s="1"/>
  <c r="I255" i="21"/>
  <c r="I299" i="21"/>
  <c r="I338" i="21"/>
  <c r="I375" i="21"/>
  <c r="K375" i="21" s="1"/>
  <c r="I427" i="21"/>
  <c r="I455" i="21"/>
  <c r="K455" i="21" s="1"/>
  <c r="I510" i="21"/>
  <c r="I521" i="21"/>
  <c r="I564" i="21"/>
  <c r="I600" i="21"/>
  <c r="I654" i="21"/>
  <c r="K654" i="21" s="1"/>
  <c r="I16" i="21"/>
  <c r="K16" i="21" s="1"/>
  <c r="I741" i="21"/>
  <c r="I737" i="21"/>
  <c r="I718" i="21"/>
  <c r="K718" i="21" s="1"/>
  <c r="I712" i="21"/>
  <c r="I710" i="21"/>
  <c r="I685" i="21"/>
  <c r="K685" i="21" s="1"/>
  <c r="I691" i="21"/>
  <c r="I679" i="21"/>
  <c r="K679" i="21" s="1"/>
  <c r="I672" i="21"/>
  <c r="I642" i="21"/>
  <c r="K642" i="21" s="1"/>
  <c r="I653" i="21"/>
  <c r="I634" i="21"/>
  <c r="I631" i="21"/>
  <c r="I625" i="21"/>
  <c r="I597" i="21"/>
  <c r="K597" i="21" s="1"/>
  <c r="I615" i="21"/>
  <c r="I602" i="21"/>
  <c r="I578" i="21"/>
  <c r="I589" i="21"/>
  <c r="I585" i="21"/>
  <c r="I558" i="21"/>
  <c r="I543" i="21"/>
  <c r="K543" i="21" s="1"/>
  <c r="I548" i="21"/>
  <c r="I534" i="21"/>
  <c r="I526" i="21"/>
  <c r="I507" i="21"/>
  <c r="I506" i="21"/>
  <c r="I493" i="21"/>
  <c r="K493" i="21" s="1"/>
  <c r="I518" i="21"/>
  <c r="I476" i="21"/>
  <c r="I482" i="21"/>
  <c r="K482" i="21" s="1"/>
  <c r="I465" i="21"/>
  <c r="I439" i="21"/>
  <c r="I459" i="21"/>
  <c r="I458" i="21"/>
  <c r="I418" i="21"/>
  <c r="I423" i="21"/>
  <c r="I405" i="21"/>
  <c r="K405" i="21" s="1"/>
  <c r="I393" i="21"/>
  <c r="I353" i="21"/>
  <c r="I354" i="21"/>
  <c r="I363" i="21"/>
  <c r="I364" i="21"/>
  <c r="K364" i="21" s="1"/>
  <c r="I374" i="21"/>
  <c r="I343" i="21"/>
  <c r="I331" i="21"/>
  <c r="I334" i="21"/>
  <c r="I321" i="21"/>
  <c r="I311" i="21"/>
  <c r="I292" i="21"/>
  <c r="I282" i="21"/>
  <c r="I280" i="21"/>
  <c r="K280" i="21" s="1"/>
  <c r="I269" i="21"/>
  <c r="I258" i="21"/>
  <c r="I247" i="21"/>
  <c r="I253" i="21"/>
  <c r="I235" i="21"/>
  <c r="I234" i="21"/>
  <c r="I211" i="21"/>
  <c r="I206" i="21"/>
  <c r="I192" i="21"/>
  <c r="I179" i="21"/>
  <c r="I171" i="21"/>
  <c r="I155" i="21"/>
  <c r="I146" i="21"/>
  <c r="I144" i="21"/>
  <c r="I125" i="21"/>
  <c r="I118" i="21"/>
  <c r="K118" i="21" s="1"/>
  <c r="I105" i="21"/>
  <c r="I98" i="21"/>
  <c r="I96" i="21"/>
  <c r="I80" i="21"/>
  <c r="I77" i="21"/>
  <c r="I71" i="21"/>
  <c r="I59" i="21"/>
  <c r="I43" i="21"/>
  <c r="I34" i="21"/>
  <c r="I25" i="21"/>
  <c r="I18" i="21"/>
  <c r="K18" i="21" s="1"/>
  <c r="I745" i="21"/>
  <c r="I709" i="21"/>
  <c r="I690" i="21"/>
  <c r="I651" i="21"/>
  <c r="I17" i="21"/>
  <c r="I734" i="21"/>
  <c r="I715" i="21"/>
  <c r="K715" i="21" s="1"/>
  <c r="I726" i="21"/>
  <c r="K726" i="21" s="1"/>
  <c r="I713" i="21"/>
  <c r="K713" i="21" s="1"/>
  <c r="K711" i="21" s="1"/>
  <c r="E32" i="37" s="1"/>
  <c r="I703" i="21"/>
  <c r="K703" i="21" s="1"/>
  <c r="I693" i="21"/>
  <c r="I689" i="21"/>
  <c r="I676" i="21"/>
  <c r="I659" i="21"/>
  <c r="K659" i="21" s="1"/>
  <c r="I643" i="21"/>
  <c r="I641" i="21"/>
  <c r="I637" i="21"/>
  <c r="I619" i="21"/>
  <c r="I626" i="21"/>
  <c r="I613" i="21"/>
  <c r="K613" i="21" s="1"/>
  <c r="I603" i="21"/>
  <c r="I605" i="21"/>
  <c r="I572" i="21"/>
  <c r="K572" i="21" s="1"/>
  <c r="I583" i="21"/>
  <c r="I576" i="21"/>
  <c r="K576" i="21" s="1"/>
  <c r="I559" i="21"/>
  <c r="I551" i="21"/>
  <c r="I535" i="21"/>
  <c r="K535" i="21" s="1"/>
  <c r="K533" i="21" s="1"/>
  <c r="I531" i="21"/>
  <c r="I527" i="21"/>
  <c r="I492" i="21"/>
  <c r="K492" i="21" s="1"/>
  <c r="I514" i="21"/>
  <c r="I501" i="21"/>
  <c r="I495" i="21"/>
  <c r="K495" i="21" s="1"/>
  <c r="I469" i="21"/>
  <c r="I472" i="21"/>
  <c r="I436" i="21"/>
  <c r="I447" i="21"/>
  <c r="I444" i="21"/>
  <c r="I443" i="21"/>
  <c r="I421" i="21"/>
  <c r="I419" i="21"/>
  <c r="I408" i="21"/>
  <c r="I394" i="21"/>
  <c r="I361" i="21"/>
  <c r="K361" i="21" s="1"/>
  <c r="I362" i="21"/>
  <c r="K362" i="21" s="1"/>
  <c r="I371" i="21"/>
  <c r="I372" i="21"/>
  <c r="K372" i="21" s="1"/>
  <c r="I382" i="21"/>
  <c r="I344" i="21"/>
  <c r="I339" i="21"/>
  <c r="I315" i="21"/>
  <c r="I320" i="21"/>
  <c r="I312" i="21"/>
  <c r="I300" i="21"/>
  <c r="I284" i="21"/>
  <c r="I264" i="21"/>
  <c r="I272" i="21"/>
  <c r="I259" i="21"/>
  <c r="I240" i="21"/>
  <c r="I243" i="21"/>
  <c r="I228" i="21"/>
  <c r="I222" i="21"/>
  <c r="I214" i="21"/>
  <c r="I200" i="21"/>
  <c r="I194" i="21"/>
  <c r="I180" i="21"/>
  <c r="I172" i="21"/>
  <c r="I157" i="21"/>
  <c r="I147" i="21"/>
  <c r="I139" i="21"/>
  <c r="I126" i="21"/>
  <c r="I119" i="21"/>
  <c r="I106" i="21"/>
  <c r="I99" i="21"/>
  <c r="I89" i="21"/>
  <c r="I81" i="21"/>
  <c r="I78" i="21"/>
  <c r="I72" i="21"/>
  <c r="I60" i="21"/>
  <c r="I44" i="21"/>
  <c r="I35" i="21"/>
  <c r="K35" i="21" s="1"/>
  <c r="K33" i="21" s="1"/>
  <c r="I28" i="21"/>
  <c r="I742" i="21"/>
  <c r="I717" i="21"/>
  <c r="I721" i="21"/>
  <c r="K721" i="21" s="1"/>
  <c r="I702" i="21"/>
  <c r="K702" i="21" s="1"/>
  <c r="I686" i="21"/>
  <c r="I666" i="21"/>
  <c r="I660" i="21"/>
  <c r="I646" i="21"/>
  <c r="I731" i="21"/>
  <c r="I735" i="21"/>
  <c r="I728" i="21"/>
  <c r="I719" i="21"/>
  <c r="K719" i="21" s="1"/>
  <c r="I705" i="21"/>
  <c r="K705" i="21" s="1"/>
  <c r="I698" i="21"/>
  <c r="K698" i="21" s="1"/>
  <c r="I687" i="21"/>
  <c r="I682" i="21"/>
  <c r="I668" i="21"/>
  <c r="I663" i="21"/>
  <c r="I648" i="21"/>
  <c r="I647" i="21"/>
  <c r="K647" i="21" s="1"/>
  <c r="I636" i="21"/>
  <c r="K636" i="21" s="1"/>
  <c r="K633" i="21" s="1"/>
  <c r="I623" i="21"/>
  <c r="I595" i="21"/>
  <c r="K595" i="21" s="1"/>
  <c r="I614" i="21"/>
  <c r="I616" i="21"/>
  <c r="I579" i="21"/>
  <c r="I591" i="21"/>
  <c r="K591" i="21" s="1"/>
  <c r="I574" i="21"/>
  <c r="I565" i="21"/>
  <c r="I554" i="21"/>
  <c r="I549" i="21"/>
  <c r="K549" i="21" s="1"/>
  <c r="I539" i="21"/>
  <c r="I525" i="21"/>
  <c r="I497" i="21"/>
  <c r="I503" i="21"/>
  <c r="I500" i="21"/>
  <c r="I486" i="21"/>
  <c r="I483" i="21"/>
  <c r="I478" i="21"/>
  <c r="K478" i="21" s="1"/>
  <c r="I475" i="21"/>
  <c r="K475" i="21" s="1"/>
  <c r="I453" i="21"/>
  <c r="I452" i="21"/>
  <c r="I457" i="21"/>
  <c r="I432" i="21"/>
  <c r="I417" i="21"/>
  <c r="I428" i="21"/>
  <c r="K428" i="21" s="1"/>
  <c r="I401" i="21"/>
  <c r="I397" i="21"/>
  <c r="I385" i="21"/>
  <c r="I386" i="21"/>
  <c r="I365" i="21"/>
  <c r="K365" i="21" s="1"/>
  <c r="I357" i="21"/>
  <c r="I383" i="21"/>
  <c r="I336" i="21"/>
  <c r="I340" i="21"/>
  <c r="I317" i="21"/>
  <c r="K317" i="21" s="1"/>
  <c r="K314" i="21" s="1"/>
  <c r="I307" i="21"/>
  <c r="I303" i="21"/>
  <c r="I294" i="21"/>
  <c r="I287" i="21"/>
  <c r="I266" i="21"/>
  <c r="I271" i="21"/>
  <c r="I249" i="21"/>
  <c r="I246" i="21"/>
  <c r="I230" i="21"/>
  <c r="I217" i="21"/>
  <c r="I205" i="21"/>
  <c r="I202" i="21"/>
  <c r="I189" i="21"/>
  <c r="I177" i="21"/>
  <c r="I168" i="21"/>
  <c r="I160" i="21"/>
  <c r="I149" i="21"/>
  <c r="I134" i="21"/>
  <c r="I132" i="21"/>
  <c r="I120" i="21"/>
  <c r="I109" i="21"/>
  <c r="I103" i="21"/>
  <c r="I91" i="21"/>
  <c r="I85" i="21"/>
  <c r="I67" i="21"/>
  <c r="I64" i="21"/>
  <c r="I50" i="21"/>
  <c r="I47" i="21"/>
  <c r="I29" i="21"/>
  <c r="I21" i="21"/>
  <c r="K21" i="21" s="1"/>
  <c r="I732" i="21"/>
  <c r="I743" i="21"/>
  <c r="I729" i="21"/>
  <c r="I727" i="21"/>
  <c r="I706" i="21"/>
  <c r="I700" i="21"/>
  <c r="I23" i="21"/>
  <c r="I41" i="21"/>
  <c r="I62" i="21"/>
  <c r="I68" i="21"/>
  <c r="I93" i="21"/>
  <c r="I102" i="21"/>
  <c r="I115" i="21"/>
  <c r="I127" i="21"/>
  <c r="I150" i="21"/>
  <c r="I164" i="21"/>
  <c r="K164" i="21" s="1"/>
  <c r="K163" i="21" s="1"/>
  <c r="I175" i="21"/>
  <c r="I199" i="21"/>
  <c r="I212" i="21"/>
  <c r="I231" i="21"/>
  <c r="I250" i="21"/>
  <c r="I256" i="21"/>
  <c r="I276" i="21"/>
  <c r="K276" i="21" s="1"/>
  <c r="I285" i="21"/>
  <c r="I290" i="21"/>
  <c r="I319" i="21"/>
  <c r="I332" i="21"/>
  <c r="I347" i="21"/>
  <c r="K346" i="21" s="1"/>
  <c r="I380" i="21"/>
  <c r="I381" i="21"/>
  <c r="I352" i="21"/>
  <c r="I407" i="21"/>
  <c r="I426" i="21"/>
  <c r="I460" i="21"/>
  <c r="I440" i="21"/>
  <c r="I464" i="21"/>
  <c r="K464" i="21" s="1"/>
  <c r="I470" i="21"/>
  <c r="I502" i="21"/>
  <c r="I491" i="21"/>
  <c r="I505" i="21"/>
  <c r="I532" i="21"/>
  <c r="I545" i="21"/>
  <c r="I568" i="21"/>
  <c r="I577" i="21"/>
  <c r="K577" i="21" s="1"/>
  <c r="I587" i="21"/>
  <c r="I607" i="21"/>
  <c r="I628" i="21"/>
  <c r="I621" i="21"/>
  <c r="I652" i="21"/>
  <c r="I671" i="21"/>
  <c r="I688" i="21"/>
  <c r="K688" i="21" s="1"/>
  <c r="I707" i="21"/>
  <c r="I736" i="21"/>
  <c r="I20" i="21"/>
  <c r="I39" i="21"/>
  <c r="I63" i="21"/>
  <c r="I66" i="21"/>
  <c r="I92" i="21"/>
  <c r="I101" i="21"/>
  <c r="I114" i="21"/>
  <c r="I136" i="21"/>
  <c r="I148" i="21"/>
  <c r="K148" i="21" s="1"/>
  <c r="K143" i="21" s="1"/>
  <c r="I162" i="21"/>
  <c r="K161" i="21" s="1"/>
  <c r="I181" i="21"/>
  <c r="K181" i="21" s="1"/>
  <c r="K178" i="21" s="1"/>
  <c r="I197" i="21"/>
  <c r="K196" i="21" s="1"/>
  <c r="I218" i="21"/>
  <c r="I229" i="21"/>
  <c r="I242" i="21"/>
  <c r="I261" i="21"/>
  <c r="K261" i="21" s="1"/>
  <c r="K254" i="21" s="1"/>
  <c r="I268" i="21"/>
  <c r="I297" i="21"/>
  <c r="I302" i="21"/>
  <c r="I322" i="21"/>
  <c r="I337" i="21"/>
  <c r="I376" i="21"/>
  <c r="I356" i="21"/>
  <c r="I378" i="21"/>
  <c r="I399" i="21"/>
  <c r="I406" i="21"/>
  <c r="K406" i="21" s="1"/>
  <c r="I425" i="21"/>
  <c r="K425" i="21" s="1"/>
  <c r="I450" i="21"/>
  <c r="I451" i="21"/>
  <c r="I463" i="21"/>
  <c r="I477" i="21"/>
  <c r="I494" i="21"/>
  <c r="K494" i="21" s="1"/>
  <c r="I498" i="21"/>
  <c r="I489" i="21"/>
  <c r="I540" i="21"/>
  <c r="I544" i="21"/>
  <c r="I566" i="21"/>
  <c r="K566" i="21" s="1"/>
  <c r="K562" i="21" s="1"/>
  <c r="I581" i="21"/>
  <c r="K581" i="21" s="1"/>
  <c r="I571" i="21"/>
  <c r="I599" i="21"/>
  <c r="I627" i="21"/>
  <c r="I618" i="21"/>
  <c r="I644" i="21"/>
  <c r="I670" i="21"/>
  <c r="I692" i="21"/>
  <c r="K692" i="21" s="1"/>
  <c r="I704" i="21"/>
  <c r="K704" i="21" s="1"/>
  <c r="I739" i="21"/>
  <c r="I695" i="21"/>
  <c r="K695" i="21" s="1"/>
  <c r="I650" i="21"/>
  <c r="I669" i="21"/>
  <c r="I724" i="21"/>
  <c r="I32" i="21"/>
  <c r="I57" i="21"/>
  <c r="I111" i="21"/>
  <c r="I137" i="21"/>
  <c r="I183" i="21"/>
  <c r="K182" i="21" s="1"/>
  <c r="I241" i="21"/>
  <c r="I310" i="21"/>
  <c r="K310" i="21" s="1"/>
  <c r="K305" i="21" s="1"/>
  <c r="I389" i="21"/>
  <c r="I410" i="21"/>
  <c r="K410" i="21" s="1"/>
  <c r="K409" i="21" s="1"/>
  <c r="I454" i="21"/>
  <c r="I509" i="21"/>
  <c r="I537" i="21"/>
  <c r="I609" i="21"/>
  <c r="I720" i="21"/>
  <c r="K720" i="21" s="1"/>
  <c r="I56" i="21"/>
  <c r="I110" i="21"/>
  <c r="I145" i="21"/>
  <c r="I209" i="21"/>
  <c r="I226" i="21"/>
  <c r="I273" i="21"/>
  <c r="K273" i="21" s="1"/>
  <c r="I298" i="21"/>
  <c r="I309" i="21"/>
  <c r="I316" i="21"/>
  <c r="I329" i="21"/>
  <c r="I366" i="21"/>
  <c r="I387" i="21"/>
  <c r="I367" i="21"/>
  <c r="K367" i="21" s="1"/>
  <c r="I395" i="21"/>
  <c r="I414" i="21"/>
  <c r="I424" i="21"/>
  <c r="I449" i="21"/>
  <c r="I438" i="21"/>
  <c r="I480" i="21"/>
  <c r="I485" i="21"/>
  <c r="I504" i="21"/>
  <c r="I487" i="21"/>
  <c r="I524" i="21"/>
  <c r="K524" i="21" s="1"/>
  <c r="I536" i="21"/>
  <c r="I556" i="21"/>
  <c r="I575" i="21"/>
  <c r="I588" i="21"/>
  <c r="I601" i="21"/>
  <c r="I598" i="21"/>
  <c r="I620" i="21"/>
  <c r="I649" i="21"/>
  <c r="I640" i="21"/>
  <c r="I678" i="21"/>
  <c r="I684" i="21"/>
  <c r="I722" i="21"/>
  <c r="I740" i="21"/>
  <c r="I635" i="21"/>
  <c r="I738" i="21"/>
  <c r="I45" i="21"/>
  <c r="K45" i="21" s="1"/>
  <c r="K42" i="21" s="1"/>
  <c r="I76" i="21"/>
  <c r="I90" i="21"/>
  <c r="K90" i="21" s="1"/>
  <c r="K86" i="21" s="1"/>
  <c r="I121" i="21"/>
  <c r="I153" i="21"/>
  <c r="I167" i="21"/>
  <c r="I201" i="21"/>
  <c r="I219" i="21"/>
  <c r="I227" i="21"/>
  <c r="I257" i="21"/>
  <c r="I267" i="21"/>
  <c r="I295" i="21"/>
  <c r="I324" i="21"/>
  <c r="I330" i="21"/>
  <c r="I390" i="21"/>
  <c r="I384" i="21"/>
  <c r="I396" i="21"/>
  <c r="I422" i="21"/>
  <c r="I446" i="21"/>
  <c r="K446" i="21" s="1"/>
  <c r="I481" i="21"/>
  <c r="I467" i="21"/>
  <c r="I496" i="21"/>
  <c r="I523" i="21"/>
  <c r="I555" i="21"/>
  <c r="I563" i="21"/>
  <c r="I586" i="21"/>
  <c r="I606" i="21"/>
  <c r="I624" i="21"/>
  <c r="I638" i="21"/>
  <c r="I645" i="21"/>
  <c r="I667" i="21"/>
  <c r="I694" i="21"/>
  <c r="K694" i="21" s="1"/>
  <c r="I733" i="21"/>
  <c r="I31" i="21"/>
  <c r="I52" i="21"/>
  <c r="I74" i="21"/>
  <c r="I95" i="21"/>
  <c r="I131" i="21"/>
  <c r="I141" i="21"/>
  <c r="I165" i="21"/>
  <c r="I188" i="21"/>
  <c r="I223" i="21"/>
  <c r="I248" i="21"/>
  <c r="I279" i="21"/>
  <c r="I24" i="21"/>
  <c r="K24" i="21" s="1"/>
  <c r="I36" i="21"/>
  <c r="I51" i="21"/>
  <c r="I55" i="21"/>
  <c r="I83" i="21"/>
  <c r="I88" i="21"/>
  <c r="I108" i="21"/>
  <c r="I130" i="21"/>
  <c r="K130" i="21" s="1"/>
  <c r="K124" i="21" s="1"/>
  <c r="I140" i="21"/>
  <c r="I156" i="21"/>
  <c r="I173" i="21"/>
  <c r="I187" i="21"/>
  <c r="I208" i="21"/>
  <c r="I224" i="21"/>
  <c r="I244" i="21"/>
  <c r="I239" i="21"/>
  <c r="I270" i="21"/>
  <c r="I278" i="21"/>
  <c r="K278" i="21" s="1"/>
  <c r="I293" i="21"/>
  <c r="I308" i="21"/>
  <c r="I341" i="21"/>
  <c r="K341" i="21" s="1"/>
  <c r="K326" i="21" s="1"/>
  <c r="I328" i="21"/>
  <c r="I358" i="21"/>
  <c r="I379" i="21"/>
  <c r="I373" i="21"/>
  <c r="I392" i="21"/>
  <c r="I420" i="21"/>
  <c r="K420" i="21" s="1"/>
  <c r="I416" i="21"/>
  <c r="K416" i="21" s="1"/>
  <c r="I441" i="21"/>
  <c r="I461" i="21"/>
  <c r="I479" i="21"/>
  <c r="I512" i="21"/>
  <c r="I511" i="21"/>
  <c r="I508" i="21"/>
  <c r="I522" i="21"/>
  <c r="I547" i="21"/>
  <c r="I553" i="21"/>
  <c r="I590" i="21"/>
  <c r="I580" i="21"/>
  <c r="I611" i="21"/>
  <c r="I612" i="21"/>
  <c r="I630" i="21"/>
  <c r="I656" i="21"/>
  <c r="I661" i="21"/>
  <c r="I677" i="21"/>
  <c r="I699" i="21"/>
  <c r="K699" i="21" s="1"/>
  <c r="I716" i="21"/>
  <c r="I746" i="21"/>
  <c r="K38" i="21"/>
  <c r="K49" i="21"/>
  <c r="K54" i="21"/>
  <c r="K65" i="21"/>
  <c r="K73" i="21"/>
  <c r="K79" i="21"/>
  <c r="K113" i="21"/>
  <c r="K133" i="21"/>
  <c r="K154" i="21"/>
  <c r="K169" i="21"/>
  <c r="K174" i="21"/>
  <c r="K185" i="21"/>
  <c r="K190" i="21"/>
  <c r="K198" i="21"/>
  <c r="K210" i="21"/>
  <c r="K204" i="21"/>
  <c r="K301" i="21"/>
  <c r="K221" i="21"/>
  <c r="K225" i="21"/>
  <c r="K237" i="21"/>
  <c r="K281" i="21"/>
  <c r="E19" i="37" s="1"/>
  <c r="K289" i="21"/>
  <c r="K345" i="21"/>
  <c r="K342" i="21"/>
  <c r="K430" i="21"/>
  <c r="K391" i="21"/>
  <c r="K400" i="21"/>
  <c r="K462" i="21"/>
  <c r="K552" i="21"/>
  <c r="K530" i="21"/>
  <c r="K557" i="21"/>
  <c r="K617" i="21"/>
  <c r="K665" i="21"/>
  <c r="K680" i="21"/>
  <c r="K730" i="21"/>
  <c r="E34" i="37" s="1"/>
  <c r="K744" i="21"/>
  <c r="E35" i="37" s="1"/>
  <c r="X24" i="38"/>
  <c r="Y69" i="38"/>
  <c r="C6" i="38"/>
  <c r="Z105" i="38" s="1"/>
  <c r="A7" i="38"/>
  <c r="C7" i="38" s="1"/>
  <c r="Z62" i="38"/>
  <c r="Z25" i="38"/>
  <c r="A37" i="38"/>
  <c r="C37" i="38" s="1"/>
  <c r="C36" i="38"/>
  <c r="Z61" i="38" s="1"/>
  <c r="Y24" i="38"/>
  <c r="Z101" i="38"/>
  <c r="X64" i="38"/>
  <c r="K658" i="21" l="1"/>
  <c r="K657" i="21" s="1"/>
  <c r="E30" i="37" s="1"/>
  <c r="K117" i="21"/>
  <c r="K48" i="21" s="1"/>
  <c r="E14" i="37" s="1"/>
  <c r="K215" i="21"/>
  <c r="E17" i="37" s="1"/>
  <c r="K435" i="21"/>
  <c r="K674" i="21"/>
  <c r="K541" i="21"/>
  <c r="K529" i="21" s="1"/>
  <c r="E28" i="37" s="1"/>
  <c r="K683" i="21"/>
  <c r="K404" i="21"/>
  <c r="K263" i="21"/>
  <c r="K714" i="21"/>
  <c r="E33" i="37" s="1"/>
  <c r="K594" i="21"/>
  <c r="K277" i="21"/>
  <c r="K484" i="21"/>
  <c r="E26" i="37" s="1"/>
  <c r="K569" i="21"/>
  <c r="K351" i="21"/>
  <c r="K15" i="21"/>
  <c r="E12" i="37" s="1"/>
  <c r="K639" i="21"/>
  <c r="K519" i="21"/>
  <c r="E27" i="37" s="1"/>
  <c r="K466" i="21"/>
  <c r="K696" i="21"/>
  <c r="K701" i="21"/>
  <c r="K412" i="21"/>
  <c r="K411" i="21" s="1"/>
  <c r="E24" i="37" s="1"/>
  <c r="K325" i="21"/>
  <c r="E22" i="37" s="1"/>
  <c r="K26" i="21"/>
  <c r="E13" i="37" s="1"/>
  <c r="K184" i="21"/>
  <c r="K123" i="21" s="1"/>
  <c r="E15" i="37" s="1"/>
  <c r="K195" i="21"/>
  <c r="E16" i="37" s="1"/>
  <c r="K288" i="21"/>
  <c r="E20" i="37" s="1"/>
  <c r="K304" i="21"/>
  <c r="E21" i="37" s="1"/>
  <c r="X102" i="38"/>
  <c r="Z65" i="38"/>
  <c r="Z102" i="38"/>
  <c r="Y102" i="38"/>
  <c r="Y63" i="38"/>
  <c r="X101" i="38"/>
  <c r="X63" i="38"/>
  <c r="Y105" i="38"/>
  <c r="Y61" i="38"/>
  <c r="X61" i="38"/>
  <c r="Z63" i="38"/>
  <c r="X62" i="38"/>
  <c r="X69" i="38"/>
  <c r="Y29" i="38"/>
  <c r="Y65" i="38"/>
  <c r="Y104" i="38"/>
  <c r="Y62" i="38"/>
  <c r="Z109" i="38"/>
  <c r="X105" i="38"/>
  <c r="Y25" i="38"/>
  <c r="Z64" i="38"/>
  <c r="Z29" i="38"/>
  <c r="Z104" i="38"/>
  <c r="X25" i="38"/>
  <c r="Y109" i="38"/>
  <c r="X65" i="38"/>
  <c r="Y103" i="38"/>
  <c r="Y101" i="38"/>
  <c r="X104" i="38"/>
  <c r="X29" i="38"/>
  <c r="U29" i="38" s="1"/>
  <c r="X103" i="38"/>
  <c r="Z69" i="38"/>
  <c r="Y64" i="38"/>
  <c r="X109" i="38"/>
  <c r="U109" i="38" s="1"/>
  <c r="Z103" i="38"/>
  <c r="K350" i="21" l="1"/>
  <c r="E23" i="37" s="1"/>
  <c r="K262" i="21"/>
  <c r="E18" i="37" s="1"/>
  <c r="K673" i="21"/>
  <c r="E31" i="37" s="1"/>
  <c r="W37" i="37" s="1"/>
  <c r="K434" i="21"/>
  <c r="E25" i="37" s="1"/>
  <c r="K561" i="21"/>
  <c r="E29" i="37" s="1"/>
  <c r="AA37" i="37"/>
  <c r="Y37" i="37"/>
  <c r="O37" i="37"/>
  <c r="M37" i="37"/>
  <c r="K37" i="37"/>
  <c r="K32" i="38"/>
  <c r="J32" i="38"/>
  <c r="U69" i="38"/>
  <c r="K112" i="38"/>
  <c r="J112" i="38"/>
  <c r="Q37" i="37" l="1"/>
  <c r="U37" i="37"/>
  <c r="S37" i="37"/>
  <c r="J749" i="21"/>
  <c r="J72" i="38"/>
  <c r="K72" i="38"/>
  <c r="G37" i="37" l="1"/>
  <c r="E37" i="37"/>
  <c r="I37" i="37"/>
  <c r="F17" i="37" l="1"/>
  <c r="AA36" i="37"/>
  <c r="K36" i="37"/>
  <c r="F25" i="37"/>
  <c r="W36" i="37"/>
  <c r="F23" i="37"/>
  <c r="O36" i="37"/>
  <c r="I39" i="37"/>
  <c r="I38" i="37"/>
  <c r="I36" i="37"/>
  <c r="Y36" i="37"/>
  <c r="F27" i="37"/>
  <c r="F18" i="37"/>
  <c r="F26" i="37"/>
  <c r="F34" i="37"/>
  <c r="F19" i="37"/>
  <c r="F32" i="37"/>
  <c r="F12" i="37"/>
  <c r="F33" i="37"/>
  <c r="F35" i="37"/>
  <c r="F30" i="37"/>
  <c r="F22" i="37"/>
  <c r="F13" i="37"/>
  <c r="F14" i="37"/>
  <c r="M36" i="37"/>
  <c r="H37" i="37"/>
  <c r="H36" i="37" s="1"/>
  <c r="G39" i="37"/>
  <c r="H39" i="37" s="1"/>
  <c r="G38" i="37"/>
  <c r="H38" i="37" s="1"/>
  <c r="G36" i="37"/>
  <c r="F20" i="37"/>
  <c r="Q36" i="37"/>
  <c r="F28" i="37"/>
  <c r="F24" i="37"/>
  <c r="U36" i="37"/>
  <c r="F15" i="37"/>
  <c r="F31" i="37"/>
  <c r="F29" i="37"/>
  <c r="F16" i="37"/>
  <c r="F21" i="37"/>
  <c r="S36" i="37"/>
  <c r="J37" i="37" l="1"/>
  <c r="F36" i="37"/>
  <c r="K38" i="37"/>
  <c r="J38" i="37"/>
  <c r="K39" i="37"/>
  <c r="J39" i="37"/>
  <c r="L39" i="37" l="1"/>
  <c r="M39" i="37"/>
  <c r="L38" i="37"/>
  <c r="M38" i="37"/>
  <c r="J36" i="37"/>
  <c r="L37" i="37"/>
  <c r="N39" i="37" l="1"/>
  <c r="L36" i="37"/>
  <c r="N37" i="37"/>
  <c r="N38" i="37"/>
  <c r="N36" i="37" l="1"/>
  <c r="P37" i="37"/>
  <c r="P36" i="37" l="1"/>
  <c r="R37" i="37"/>
  <c r="R36" i="37" l="1"/>
  <c r="T37" i="37"/>
  <c r="T36" i="37" l="1"/>
  <c r="V37" i="37"/>
  <c r="V36" i="37" l="1"/>
  <c r="X37" i="37"/>
  <c r="X36" i="37" l="1"/>
  <c r="Z37" i="37"/>
  <c r="Z36" i="37" l="1"/>
  <c r="AB37" i="37"/>
  <c r="AB36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6" authorId="0" shapeId="0" xr:uid="{89A7B588-51ED-4B5F-90B9-D7243BB269AC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sharedStrings.xml><?xml version="1.0" encoding="utf-8"?>
<sst xmlns="http://schemas.openxmlformats.org/spreadsheetml/2006/main" count="4259" uniqueCount="2468">
  <si>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</si>
  <si>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</si>
  <si>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</si>
  <si>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</si>
  <si>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</si>
  <si>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</si>
  <si>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</si>
  <si>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</si>
  <si>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</si>
  <si>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</si>
  <si>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</si>
  <si>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</si>
  <si>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</si>
  <si>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</si>
  <si>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</si>
  <si>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</si>
  <si>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</si>
  <si>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98459</t>
  </si>
  <si>
    <t>TAPUME COM TELHA METÁLICA. AF_03/2024</t>
  </si>
  <si>
    <t>1.3</t>
  </si>
  <si>
    <t>101509</t>
  </si>
  <si>
    <t>ENTRADA DE ENERGIA ELÉTRICA, AÉREA, TRIFÁSICA, COM CAIXA DE EMBUTIR, CABO DE 10 MM2 E DISJUNTOR DIN 50A (NÃO INCLUSO O POSTE DE CONCRETO). AF_07/2020_PS</t>
  </si>
  <si>
    <t>UN</t>
  </si>
  <si>
    <t>1.4</t>
  </si>
  <si>
    <t>FNDE 03</t>
  </si>
  <si>
    <t>LIGAÇÃO PROVISÓRIA DE ÁGUA E ESGOTO</t>
  </si>
  <si>
    <t>PRÓPRIA</t>
  </si>
  <si>
    <t>1.5</t>
  </si>
  <si>
    <t>99059</t>
  </si>
  <si>
    <t>LOCAÇÃO CONVENCIONAL DE OBRA, UTILIZANDO GABARITO DE TÁBUAS CORRIDAS PONTALETADAS A CADA 2,00M -  2 UTILIZAÇÕES. AF_03/2024</t>
  </si>
  <si>
    <t>M</t>
  </si>
  <si>
    <t>1.6</t>
  </si>
  <si>
    <t>98525</t>
  </si>
  <si>
    <t>LIMPEZA MECANIZADA DE CAMADA VEGETAL, VEGETAÇÃO E PEQUENAS ÁRVORES (DIÂMETRO DE TRONCO MENOR QUE 0,20 M), COM TRATOR DE ESTEIRAS. AF_03/2024</t>
  </si>
  <si>
    <t>1.7</t>
  </si>
  <si>
    <t>FNDE 52</t>
  </si>
  <si>
    <t>ADMINISTRAÇÃO LOCAL</t>
  </si>
  <si>
    <t>1.8</t>
  </si>
  <si>
    <t>FNDE 230</t>
  </si>
  <si>
    <t>LOCACAO DE CONTAINER 2,30 X 6,00 M, ALT. 2,50 M, PARA ESCRITORIO, SEM DIVISORIAS INTERNAS E SEM SANITARIO (NAO INCLUI MOBILIZACAO/DESMOBILIZACAO)</t>
  </si>
  <si>
    <t>MÊS</t>
  </si>
  <si>
    <t>1.9</t>
  </si>
  <si>
    <t>FNDE 231</t>
  </si>
  <si>
    <t>LOCACAO DE CONTAINER 2,30 X 6,00 M, ALT. 2,50 M, COM 1 SANITARIO, PARA ESCRITORIO, COMPLETO, SEM DIVISORIAS INTERNAS (NAO INCLUI MOBILIZACAO/DESMOBILIZACAO)</t>
  </si>
  <si>
    <t>1.10</t>
  </si>
  <si>
    <t>FNDE 232</t>
  </si>
  <si>
    <t>LOCACAO DE CONTAINER 2,30 X 6,00 M, ALT. 2,50 M, PARA SANITARIO, COM 4 BACIAS, 8 CHUVEIROS,1 LAVATORIO E 1 MICTORIO (NAO INCLUI MOBILIZACAO/DESMOBILIZACAO)</t>
  </si>
  <si>
    <t>2</t>
  </si>
  <si>
    <t>MOVIMENTO DE TERRA PARA FUNDAÇÕES</t>
  </si>
  <si>
    <t>2.1</t>
  </si>
  <si>
    <t>EDIFICAÇÃO</t>
  </si>
  <si>
    <t>2.1.1</t>
  </si>
  <si>
    <t>96521</t>
  </si>
  <si>
    <t>ESCAVAÇÃO MECANIZADA PARA BLOCO DE COROAMENTO OU SAPATA COM RETROESCAVADEIRA (INCLUINDO ESCAVAÇÃO PARA COLOCAÇÃO DE FÔRMAS). AF_01/2024</t>
  </si>
  <si>
    <t>M3</t>
  </si>
  <si>
    <t>2.1.2</t>
  </si>
  <si>
    <t>94318</t>
  </si>
  <si>
    <t>ATERRO MECANIZADO DE VALA COM RETROESCAVADEIRA (CAPACIDADE DA CAÇAMBA DA RETRO: 0,26 M³ / POTÊNCIA: 88 HP), LARGURA ATÉ 1,5 M, PROFUNDIDADE DE 1,5 A 3,0 M, COM SOLO ARGILO-ARENOSO. AF_08/2023</t>
  </si>
  <si>
    <t>2.1.3</t>
  </si>
  <si>
    <t>96525</t>
  </si>
  <si>
    <t>ESCAVAÇÃO MECANIZADA PARA VIGA BALDRAME OU SAPATA CORRIDA COM MINI-ESCAVADEIRA (INCLUINDO ESCAVAÇÃO PARA COLOCAÇÃO DE FÔRMAS). AF_01/2024</t>
  </si>
  <si>
    <t>2.1.4</t>
  </si>
  <si>
    <t>101617</t>
  </si>
  <si>
    <t>PREPARO DE FUNDO DE VALA COM LARGURA MAIOR OU IGUAL A 1,5 M E MENOR QUE 2,5 M (ACERTO DO SOLO NATURAL). AF_08/2020</t>
  </si>
  <si>
    <t>2.1.5</t>
  </si>
  <si>
    <t>93381</t>
  </si>
  <si>
    <t>REATERRO MECANIZADO DE VALA COM RETROESCAVADEIRA (CAPACIDADE DA CAÇAMBA   DA RETRO: 0,26 M³/POTÊNCIA: 88 HP), LARGURA 0,8 A 1,5 M, PROFUNDIDADE 1,5 A 3,0 M, COM SOLO (SEM SUBSTITUIÇÃO) DE 1ª CATEGORIA E COMPACTADOR DE SOLOS DE PERCUSSÃO. AF_08/2023</t>
  </si>
  <si>
    <t>2.2</t>
  </si>
  <si>
    <t>RESERVATÓRIO</t>
  </si>
  <si>
    <t>2.2.1</t>
  </si>
  <si>
    <t>2.2.2</t>
  </si>
  <si>
    <t>2.2.3</t>
  </si>
  <si>
    <t>2.2.4</t>
  </si>
  <si>
    <t>2.3</t>
  </si>
  <si>
    <t>ESTUTURA METÁLICA</t>
  </si>
  <si>
    <t>2.3.1</t>
  </si>
  <si>
    <t>2.3.2</t>
  </si>
  <si>
    <t>2.3.3</t>
  </si>
  <si>
    <t>2.4</t>
  </si>
  <si>
    <t>MURO</t>
  </si>
  <si>
    <t>2.4.1</t>
  </si>
  <si>
    <t>2.4.2</t>
  </si>
  <si>
    <t>2.4.3</t>
  </si>
  <si>
    <t>2.4.4</t>
  </si>
  <si>
    <t>2.4.5</t>
  </si>
  <si>
    <t>3</t>
  </si>
  <si>
    <t>FUNDAÇÕES</t>
  </si>
  <si>
    <t>3.1</t>
  </si>
  <si>
    <t>CONCRETO ARMADO PARA FUNDAÇÕES - ESTACAS</t>
  </si>
  <si>
    <t>3.1.1</t>
  </si>
  <si>
    <t>100897</t>
  </si>
  <si>
    <t>ESTACA ESCAVADA MECANICAMENTE, SEM FLUIDO ESTABILIZANTE, COM 40CM DE DIÂMETRO, CONCRETO LANÇADO POR CAMINHÃO BETONEIRA (EXCLUSIVE MOBILIZAÇÃO E DESMOBILIZAÇÃO). AF_01/2020_PA</t>
  </si>
  <si>
    <t>3.1.2</t>
  </si>
  <si>
    <t>FNDE 236</t>
  </si>
  <si>
    <t>ESTACA ESCAVADA MECANICAMENTE, SEM FLUIDO ESTABILIZANTE, COM 40CM DE DIÂMETRO, CONCRETO LANÇADO POR CAMINHÃO BETONEIRA (EXCLUSIVE MOBILIZAÇÃO E DESMOBILIZAÇÃO) - MURO</t>
  </si>
  <si>
    <t>3.1.3</t>
  </si>
  <si>
    <t>FNDE 237</t>
  </si>
  <si>
    <t>ESTACA ESCAVADA MECANICAMENTE, SEM FLUIDO ESTABILIZANTE, COM 40CM DE DIÂMETRO, CONCRETO LANÇADO POR CAMINHÃO BETONEIRA (EXCLUSIVE MOBILIZAÇÃO E DESMOBILIZAÇÃO).  RESERVATÓRIO</t>
  </si>
  <si>
    <t>3.1.4</t>
  </si>
  <si>
    <t>FNDE 238</t>
  </si>
  <si>
    <t>ESTACA ESCAVADA MECANICAMENTE, SEM FLUIDO ESTABILIZANTE, COM 40CM DE DIÂMETRO, CONCRETO LANÇADO POR CAMINHÃO BETONEIRA (EXCLUSIVE MOBILIZAÇÃO E DESMOBILIZAÇÃO) - ESTRUTURA METÁLICA</t>
  </si>
  <si>
    <t>3.2</t>
  </si>
  <si>
    <t>CONCRETO ARMADO PARA BLOCOS</t>
  </si>
  <si>
    <t>3.2.1</t>
  </si>
  <si>
    <t>96619</t>
  </si>
  <si>
    <t>LASTRO DE CONCRETO MAGRO, APLICADO EM BLOCOS DE COROAMENTO OU SAPATAS, ESPESSURA DE 5 CM. AF_01/2024</t>
  </si>
  <si>
    <t>3.2.2</t>
  </si>
  <si>
    <t>96534</t>
  </si>
  <si>
    <t>FABRICAÇÃO, MONTAGEM E DESMONTAGEM DE FÔRMA PARA BLOCO DE COROAMENTO, EM MADEIRA SERRADA, E=25 MM, 4 UTILIZAÇÕES. AF_01/2024</t>
  </si>
  <si>
    <t>3.2.3</t>
  </si>
  <si>
    <t>96544</t>
  </si>
  <si>
    <t>ARMAÇÃO DE BLOCO UTILIZANDO AÇO CA-50 DE 6,3 MM - MONTAGEM. AF_01/2024</t>
  </si>
  <si>
    <t>KG</t>
  </si>
  <si>
    <t>3.2.4</t>
  </si>
  <si>
    <t>96545</t>
  </si>
  <si>
    <t>ARMAÇÃO DE BLOCO UTILIZANDO AÇO CA-50 DE 8 MM - MONTAGEM. AF_01/2024</t>
  </si>
  <si>
    <t>3.2.5</t>
  </si>
  <si>
    <t>96546</t>
  </si>
  <si>
    <t>ARMAÇÃO DE BLOCO UTILIZANDO AÇO CA-50 DE 10 MM - MONTAGEM. AF_01/2024</t>
  </si>
  <si>
    <t>3.2.6</t>
  </si>
  <si>
    <t>104920</t>
  </si>
  <si>
    <t>ARMAÇÃO DE BLOCO, SAPATA ISOLADA, VIGA BALDRAME E SAPATA CORRIDA UTILIZANDO AÇO CA-50 DE 12,5 MM - MONTAGEM. AF_01/2024</t>
  </si>
  <si>
    <t>3.2.7</t>
  </si>
  <si>
    <t>104921</t>
  </si>
  <si>
    <t>ARMAÇÃO DE BLOCO, SAPATA ISOLADA, VIGA BALDRAME E SAPATA CORRIDA UTILIZANDO AÇO CA-50 DE 16 MM - MONTAGEM. AF_01/2024</t>
  </si>
  <si>
    <t>3.2.8</t>
  </si>
  <si>
    <t>104922</t>
  </si>
  <si>
    <t>ARMAÇÃO DE BLOCO, SAPATA ISOLADA E SAPATA CORRIDA UTILIZANDO AÇO CA-50 DE 20 MM - MONTAGEM. AF_01/2024</t>
  </si>
  <si>
    <t>3.2.9</t>
  </si>
  <si>
    <t>92915</t>
  </si>
  <si>
    <t>ARMAÇÃO DE ESTRUTURAS DIVERSAS DE CONCRETO ARMADO, EXCETO VIGAS, PILARES, LAJES E FUNDAÇÕES, UTILIZANDO AÇO CA-60 DE 5,0 MM - MONTAGEM. AF_06/2022</t>
  </si>
  <si>
    <t>3.2.10</t>
  </si>
  <si>
    <t>96557</t>
  </si>
  <si>
    <t>CONCRETAGEM DE BLOCO DE COROAMENTO OU VIGA BALDRAME, FCK 30 MPA, COM USO DE BOMBA - LANÇAMENTO, ADENSAMENTO E ACABAMENTO. AF_01/2024</t>
  </si>
  <si>
    <t>3.3</t>
  </si>
  <si>
    <t>CONCRETO ARMADO PARA FUNDAÇÕES - BLOCOS - MURO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</si>
  <si>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</si>
  <si>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</si>
  <si>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</si>
  <si>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</si>
  <si>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</si>
  <si>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</si>
  <si>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</si>
  <si>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</si>
  <si>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CONCRETO ARMADO PARA FUNDAÇÕES - BLOCOS - RESERVATÓRIO</t>
  </si>
  <si>
    <t>3.4.1</t>
  </si>
  <si>
    <t>3.4.2</t>
  </si>
  <si>
    <t>3.4.3</t>
  </si>
  <si>
    <t>3.4.4</t>
  </si>
  <si>
    <t>3.4.5</t>
  </si>
  <si>
    <t>3.5</t>
  </si>
  <si>
    <t>CONCRETO ARMADO PARA FUNDAÇÕES - BLOCOS - METÁLICA</t>
  </si>
  <si>
    <t>3.5.1</t>
  </si>
  <si>
    <t>3.5.2</t>
  </si>
  <si>
    <t>3.5.3</t>
  </si>
  <si>
    <t>3.5.4</t>
  </si>
  <si>
    <t>3.5.5</t>
  </si>
  <si>
    <t>3.5.6</t>
  </si>
  <si>
    <t>3.6</t>
  </si>
  <si>
    <t>CONCRETO ARMADO PARA FUNDAÇÕES - VIGAS BALDRAMES</t>
  </si>
  <si>
    <t>3.6.1</t>
  </si>
  <si>
    <t>3.6.2</t>
  </si>
  <si>
    <t>94968</t>
  </si>
  <si>
    <t>CONCRETO MAGRO PARA LASTRO, TRAÇO 1:4,5:4,5 (EM MASSA SECA DE CIMENTO/ AREIA MÉDIA/ BRITA 1) - PREPARO MECÂNICO COM BETONEIRA 600 L. AF_05/2021</t>
  </si>
  <si>
    <t>3.6.3</t>
  </si>
  <si>
    <t>96536</t>
  </si>
  <si>
    <t>FABRICAÇÃO, MONTAGEM E DESMONTAGEM DE FÔRMA PARA VIGA BALDRAME, EM MADEIRA SERRADA, E=25 MM, 4 UTILIZAÇÕES. AF_01/2024</t>
  </si>
  <si>
    <t>3.6.4</t>
  </si>
  <si>
    <t>104917</t>
  </si>
  <si>
    <t>ARMAÇÃO DE SAPATA ISOLADA, VIGA BALDRAME E SAPATA CORRIDA UTILIZANDO AÇO CA-50 DE 6,3 MM - MONTAGEM. AF_01/2024</t>
  </si>
  <si>
    <t>3.6.5</t>
  </si>
  <si>
    <t>104918</t>
  </si>
  <si>
    <t>ARMAÇÃO DE SAPATA ISOLADA, VIGA BALDRAME E SAPATA CORRIDA UTILIZANDO AÇO CA-50 DE 8 MM - MONTAGEM. AF_01/2024</t>
  </si>
  <si>
    <t>3.6.6</t>
  </si>
  <si>
    <t>104919</t>
  </si>
  <si>
    <t>ARMAÇÃO DE SAPATA ISOLADA, VIGA BALDRAME E SAPATA CORRIDA UTILIZANDO AÇO CA-50 DE 10 MM - MONTAGEM. AF_01/2024</t>
  </si>
  <si>
    <t>3.6.7</t>
  </si>
  <si>
    <t>3.6.8</t>
  </si>
  <si>
    <t>3.6.9</t>
  </si>
  <si>
    <t>3.6.10</t>
  </si>
  <si>
    <t>3.7</t>
  </si>
  <si>
    <t>CONCRETO ARMADO PARA FUNDAÇÕES - VIGAS BALDRAMES - MURO</t>
  </si>
  <si>
    <t>3.7.1</t>
  </si>
  <si>
    <t>3.7.2</t>
  </si>
  <si>
    <t>3.7.3</t>
  </si>
  <si>
    <t>3.7.4</t>
  </si>
  <si>
    <t>3.7.5</t>
  </si>
  <si>
    <t>3.7.6</t>
  </si>
  <si>
    <t>3.8</t>
  </si>
  <si>
    <t>CONCRETO ARMADO PARA FUNDAÇÕES - VIGAS BALDRAMES - RESERVATÓRIO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</si>
  <si>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</si>
  <si>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</si>
  <si>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</si>
  <si>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</si>
  <si>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</si>
  <si>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</si>
  <si>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</si>
  <si>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</si>
  <si>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3.9</t>
  </si>
  <si>
    <t>CONCRETO ARMADO - RADIER - RESERVATÓRIO</t>
  </si>
  <si>
    <t>3.9.1</t>
  </si>
  <si>
    <t>97086</t>
  </si>
  <si>
    <t>FABRICAÇÃO, MONTAGEM E DESMONTAGEM DE FORMA PARA RADIER, PISO DE CONCRETO OU LAJE SOBRE SOLO, EM MADEIRA SERRADA, 4 UTILIZAÇÕES. AF_09/2021</t>
  </si>
  <si>
    <t>3.9.2</t>
  </si>
  <si>
    <t>3.9.3</t>
  </si>
  <si>
    <t>97096</t>
  </si>
  <si>
    <t>CONCRETAGEM DE RADIER, PISO DE CONCRETO OU LAJE SOBRE SOLO, FCK 30 MPA - LANÇAMENTO, ADENSAMENTO E ACABAMENTO. AF_09/2021</t>
  </si>
  <si>
    <t>3.10</t>
  </si>
  <si>
    <t>CONCRETO ARMADO PARA FUNDAÇÕES - VIGAS BALDRAMES - METÁLICA</t>
  </si>
  <si>
    <t>3.10.1</t>
  </si>
  <si>
    <t>3.10.2</t>
  </si>
  <si>
    <t>3.10.3</t>
  </si>
  <si>
    <t>3.10.4</t>
  </si>
  <si>
    <t>3.10.5</t>
  </si>
  <si>
    <t>4</t>
  </si>
  <si>
    <t>SUPERESTRUTURA</t>
  </si>
  <si>
    <t>4.1</t>
  </si>
  <si>
    <t>CONCRETO ARMADO - PILARES</t>
  </si>
  <si>
    <t>4.1.1</t>
  </si>
  <si>
    <t>92443</t>
  </si>
  <si>
    <t>MONTAGEM E DESMONTAGEM DE FÔRMA DE PILARES RETANGULARES E ESTRUTURAS SIMILARES, PÉ-DIREITO SIMPLES, EM CHAPA DE MADEIRA COMPENSADA PLASTIFICADA, 18 UTILIZAÇÕES. AF_09/2020</t>
  </si>
  <si>
    <t>4.1.2</t>
  </si>
  <si>
    <t>92760</t>
  </si>
  <si>
    <t>ARMAÇÃO DE PILAR OU VIGA DE ESTRUTURA CONVENCIONAL DE CONCRETO ARMADO UTILIZANDO AÇO CA-50 DE 6,3 MM - MONTAGEM. AF_06/2022</t>
  </si>
  <si>
    <t>4.1.3</t>
  </si>
  <si>
    <t>92762</t>
  </si>
  <si>
    <t>ARMAÇÃO DE PILAR OU VIGA DE ESTRUTURA CONVENCIONAL DE CONCRETO ARMADO UTILIZANDO AÇO CA-50 DE 10,0 MM - MONTAGEM. AF_06/2022</t>
  </si>
  <si>
    <t>4.1.4</t>
  </si>
  <si>
    <t>92763</t>
  </si>
  <si>
    <t>ARMAÇÃO DE PILAR OU VIGA DE ESTRUTURA CONVENCIONAL DE CONCRETO ARMADO UTILIZANDO AÇO CA-50 DE 12,5 MM - MONTAGEM. AF_06/2022</t>
  </si>
  <si>
    <t>4.1.5</t>
  </si>
  <si>
    <t>92764</t>
  </si>
  <si>
    <t>ARMAÇÃO DE PILAR OU VIGA DE ESTRUTURA CONVENCIONAL DE CONCRETO ARMADO UTILIZANDO AÇO CA-50 DE 16,0 MM - MONTAGEM. AF_06/2022</t>
  </si>
  <si>
    <t>4.1.6</t>
  </si>
  <si>
    <t>92765</t>
  </si>
  <si>
    <t>ARMAÇÃO DE PILAR OU VIGA DE ESTRUTURA CONVENCIONAL DE CONCRETO ARMADO UTILIZANDO AÇO CA-50 DE 20,0 MM - MONTAGEM. AF_06/2022</t>
  </si>
  <si>
    <t>4.1.7</t>
  </si>
  <si>
    <t>92759</t>
  </si>
  <si>
    <t>ARMAÇÃO DE PILAR OU VIGA DE ESTRUTURA CONVENCIONAL DE CONCRETO ARMADO UTILIZANDO AÇO CA-60 DE 5,0 MM - MONTAGEM. AF_06/2022</t>
  </si>
  <si>
    <t>4.1.8</t>
  </si>
  <si>
    <t>FNDE 239</t>
  </si>
  <si>
    <t>CONCRETAGEM DE PILARES, FCK = 30 MPA, COM USO DE BOMBA - LANÇAMENTO, ADENSAMENTO E ACABAMENTO.</t>
  </si>
  <si>
    <t>4.2</t>
  </si>
  <si>
    <t>CONCRETO ARMADO - PILARES - MURO</t>
  </si>
  <si>
    <t>4.2.1</t>
  </si>
  <si>
    <t>4.2.2</t>
  </si>
  <si>
    <t>4.2.3</t>
  </si>
  <si>
    <t>4.2.4</t>
  </si>
  <si>
    <t>4.3</t>
  </si>
  <si>
    <t>CONCRETO ARMADO - PILARES E VIGAS- RESERVATÓRIO</t>
  </si>
  <si>
    <t>4.3.1</t>
  </si>
  <si>
    <t>4.3.2</t>
  </si>
  <si>
    <t>4.3.3</t>
  </si>
  <si>
    <t>4.3.4</t>
  </si>
  <si>
    <t>4.4</t>
  </si>
  <si>
    <t>CONCRETO ARMADO - VIGAS</t>
  </si>
  <si>
    <t>4.4.1</t>
  </si>
  <si>
    <t>92479</t>
  </si>
  <si>
    <t>MONTAGEM E DESMONTAGEM DE FÔRMA DE VIGA, ESCORAMENTO COM GARFO DE MADEIRA, PÉ-DIREITO SIMPLES, EM CHAPA DE MADEIRA PLASTIFICADA, 18 UTILIZAÇÕES. AF_09/2020</t>
  </si>
  <si>
    <t>4.4.2</t>
  </si>
  <si>
    <t>4.4.3</t>
  </si>
  <si>
    <t>92761</t>
  </si>
  <si>
    <t>ARMAÇÃO DE PILAR OU VIGA DE ESTRUTURA CONVENCIONAL DE CONCRETO ARMADO UTILIZANDO AÇO CA-50 DE 8,0 MM - MONTAGEM. AF_06/2022</t>
  </si>
  <si>
    <t>4.4.4</t>
  </si>
  <si>
    <t>4.4.5</t>
  </si>
  <si>
    <t>4.4.6</t>
  </si>
  <si>
    <t>4.4.7</t>
  </si>
  <si>
    <t>4.4.8</t>
  </si>
  <si>
    <t>92766</t>
  </si>
  <si>
    <t>ARMAÇÃO DE PILAR OU VIGA DE ESTRUTURA CONVENCIONAL DE CONCRETO ARMADO UTILIZANDO AÇO CA-50 DE 25,0 MM - MONTAGEM. AF_06/2022</t>
  </si>
  <si>
    <t>4.4.9</t>
  </si>
  <si>
    <t>4.4.10</t>
  </si>
  <si>
    <t>FNDE 240</t>
  </si>
  <si>
    <t>CONCRETAGEM DE VIGAS E LAJES, FCK=30 MPA, PARA LAJES MACIÇAS OU NERVURADAS COM USO DE BOMBA - LANÇAMENTO, ADENSAMENTO E ACABAMENTO.</t>
  </si>
  <si>
    <t>4.5</t>
  </si>
  <si>
    <t>CONCRETO ARMADO - VIGAS - MURO</t>
  </si>
  <si>
    <t>4.5.1</t>
  </si>
  <si>
    <t>4.5.2</t>
  </si>
  <si>
    <t>4.5.3</t>
  </si>
  <si>
    <t>4.5.4</t>
  </si>
  <si>
    <t>4.5.5</t>
  </si>
  <si>
    <t>4.5.6</t>
  </si>
  <si>
    <t>4.6</t>
  </si>
  <si>
    <t>CONCRETO ARMADO PARA VERGAS</t>
  </si>
  <si>
    <t>4.6.1</t>
  </si>
  <si>
    <t>93184</t>
  </si>
  <si>
    <t>VERGA PRÉ-MOLDADA COM ATÉ 1,5 M DE VÃO, ESPESSURA DE *20* CM. AF_03/2024</t>
  </si>
  <si>
    <t>4.7</t>
  </si>
  <si>
    <t>CONCRETO ARMADO - PISO PARA QUADRA</t>
  </si>
  <si>
    <t>4.7.1</t>
  </si>
  <si>
    <t>92526</t>
  </si>
  <si>
    <t>MONTAGEM E DESMONTAGEM DE FÔRMA DE LAJE MACIÇA, PÉ-DIREITO SIMPLES, EM CHAPA DE MADEIRA COMPENSADA PLASTIFICADA, 10 UTILIZAÇÕES. AF_09/2020</t>
  </si>
  <si>
    <t>4.7.2</t>
  </si>
  <si>
    <t>97113</t>
  </si>
  <si>
    <t>APLICAÇÃO DE LONA PLÁSTICA PARA EXECUÇÃO DE PAVIMENTOS DE CONCRETO. AF_04/2022</t>
  </si>
  <si>
    <t>4.7.3</t>
  </si>
  <si>
    <t>97088</t>
  </si>
  <si>
    <t>ARMAÇÃO PARA EXECUÇÃO DE RADIER, PISO DE CONCRETO OU LAJE SOBRE SOLO, COM USO DE TELA Q-92. AF_09/2021</t>
  </si>
  <si>
    <t>4.7.4</t>
  </si>
  <si>
    <t>101747</t>
  </si>
  <si>
    <t>PISO EM CONCRETO 20 MPA PREPARO MECÂNICO, ESPESSURA 7CM. AF_09/2020</t>
  </si>
  <si>
    <t>4.7.5</t>
  </si>
  <si>
    <t>100324</t>
  </si>
  <si>
    <t>LASTRO COM MATERIAL GRANULAR (PEDRA BRITADA N.1 E PEDRA BRITADA N.2), APLICADO EM PISOS OU LAJES SOBRE SOLO, ESPESSURA DE *10 CM*. AF_01/2024</t>
  </si>
  <si>
    <t>4.8</t>
  </si>
  <si>
    <t>CONCRETO ARMADO - LAJE</t>
  </si>
  <si>
    <t>4.8.1</t>
  </si>
  <si>
    <t>92514</t>
  </si>
  <si>
    <t>MONTAGEM E DESMONTAGEM DE FÔRMA DE LAJE MACIÇA, PÉ-DIREITO SIMPLES, EM CHAPA DE MADEIRA COMPENSADA RESINADA, 4 UTILIZAÇÕES. AF_09/2020</t>
  </si>
  <si>
    <t>4.8.2</t>
  </si>
  <si>
    <t>92769</t>
  </si>
  <si>
    <t>ARMAÇÃO DE LAJE DE ESTRUTURA CONVENCIONAL DE CONCRETO ARMADO UTILIZANDO AÇO CA-50 DE 6,3 MM - MONTAGEM. AF_06/2022</t>
  </si>
  <si>
    <t>4.8.3</t>
  </si>
  <si>
    <t>92768</t>
  </si>
  <si>
    <t>ARMAÇÃO DE LAJE DE ESTRUTURA CONVENCIONAL DE CONCRETO ARMADO UTILIZANDO AÇO CA-60 DE 5,0 MM - MONTAGEM. AF_06/2022</t>
  </si>
  <si>
    <t>4.8.4</t>
  </si>
  <si>
    <t>4.9</t>
  </si>
  <si>
    <t>CONCRETO ARMADO - LAJE - MURO</t>
  </si>
  <si>
    <t>4.9.1</t>
  </si>
  <si>
    <t>4.9.2</t>
  </si>
  <si>
    <t>4.9.3</t>
  </si>
  <si>
    <t>4.10</t>
  </si>
  <si>
    <t>CONCRETO ARMADO - LAJE - RESERVATÓRIO</t>
  </si>
  <si>
    <t>4.10.1</t>
  </si>
  <si>
    <t>4.10.2</t>
  </si>
  <si>
    <t>92770</t>
  </si>
  <si>
    <t>ARMAÇÃO DE LAJE DE ESTRUTURA CONVENCIONAL DE CONCRETO ARMADO UTILIZANDO AÇO CA-50 DE 8,0 MM - MONTAGEM. AF_06/2022</t>
  </si>
  <si>
    <t>4.10.3</t>
  </si>
  <si>
    <t>4.11</t>
  </si>
  <si>
    <t>ESTRUTURA METÁLICA</t>
  </si>
  <si>
    <t>4.11.1</t>
  </si>
  <si>
    <t>100775</t>
  </si>
  <si>
    <t>ESTRUTURA TRELIÇADA DE COBERTURA, TIPO FINK, COM LIGAÇÕES SOLDADAS, INCLUSOS PERFIS METÁLICOS, CHAPAS METÁLICAS, MÃO DE OBRA E TRANSPORTE COM GUINDASTE - FORNECIMENTO E INSTALAÇÃO. AF_01/2020_PSA</t>
  </si>
  <si>
    <t>4.12</t>
  </si>
  <si>
    <t>PISO DE CONCRETO</t>
  </si>
  <si>
    <t>4.12.1</t>
  </si>
  <si>
    <t>PAVIMENTAÇÃO INTERNA - PISO DE CONCRETO 7 CM</t>
  </si>
  <si>
    <t>4.12.1.1</t>
  </si>
  <si>
    <t>97083</t>
  </si>
  <si>
    <t>COMPACTAÇÃO MECÂNICA DE SOLO PARA EXECUÇÃO DE RADIER, PISO DE CONCRETO OU LAJE SOBRE SOLO, COM COMPACTADOR DE SOLOS A PERCUSSÃO. AF_09/2021</t>
  </si>
  <si>
    <t>4.12.1.2</t>
  </si>
  <si>
    <t>96622</t>
  </si>
  <si>
    <t>LASTRO COM MATERIAL GRANULAR, APLICADO EM PISOS OU LAJES SOBRE SOLO, ESPESSURA DE *5 CM*. AF_01/2024</t>
  </si>
  <si>
    <t>4.12.1.3</t>
  </si>
  <si>
    <t>97087</t>
  </si>
  <si>
    <t>CAMADA SEPARADORA PARA EXECUÇÃO DE RADIER, PISO DE CONCRETO OU LAJE SOBRE SOLO, EM LONA PLÁSTICA. AF_09/2021</t>
  </si>
  <si>
    <t>4.12.1.4</t>
  </si>
  <si>
    <t>94991</t>
  </si>
  <si>
    <t>EXECUÇÃO DE PASSEIO (CALÇADA) OU PISO DE CONCRETO COM CONCRETO MOLDADO IN LOCO, USINADO C20, ACABAMENTO CONVENCIONAL, NÃO ARMADO. AF_08/2022</t>
  </si>
  <si>
    <t>4.12.2</t>
  </si>
  <si>
    <t>PAVIMENTAÇÃO EXTERNA - CALÇADA - PISO DE CONCRETO 7 CM</t>
  </si>
  <si>
    <t>4.12.2.1</t>
  </si>
  <si>
    <t>4.12.2.2</t>
  </si>
  <si>
    <t>4.12.2.3</t>
  </si>
  <si>
    <t>4.12.2.4</t>
  </si>
  <si>
    <t>5</t>
  </si>
  <si>
    <t>SISTEMA DE VEDAÇÃO VERTICAL</t>
  </si>
  <si>
    <t>5.1</t>
  </si>
  <si>
    <t>ELEMENTOS VAZADOS</t>
  </si>
  <si>
    <t>5.1.1</t>
  </si>
  <si>
    <t>101161</t>
  </si>
  <si>
    <t>ALVENARIA DE VEDAÇÃO COM ELEMENTO VAZADO DE CONCRETO (COBOGÓ) DE 7X50X50CM E ARGAMASSA DE ASSENTAMENTO COM PREPARO EM BETONEIRA. AF_05/2020</t>
  </si>
  <si>
    <t>5.2</t>
  </si>
  <si>
    <t>ALVENARIA DE VEDAÇÃO</t>
  </si>
  <si>
    <t>5.2.1</t>
  </si>
  <si>
    <t>103324</t>
  </si>
  <si>
    <t>ALVENARIA DE VEDAÇÃO DE BLOCOS CERÂMICOS FURADOS NA VERTICAL DE 14X19X39 CM (ESPESSURA 14 CM) E ARGAMASSA DE ASSENTAMENTO COM PREPARO EM BETONEIRA. AF_12/2021</t>
  </si>
  <si>
    <t>5.2.2</t>
  </si>
  <si>
    <t>103322</t>
  </si>
  <si>
    <t>ALVENARIA DE VEDAÇÃO DE BLOCOS CERÂMICOS FURADOS NA VERTICAL DE 9X19X39 CM (ESPESSURA 9 CM) E ARGAMASSA DE ASSENTAMENTO COM PREPARO EM BETONEIRA. AF_12/2021</t>
  </si>
  <si>
    <t>5.2.3</t>
  </si>
  <si>
    <t>103327</t>
  </si>
  <si>
    <t>ALVENARIA DE VEDAÇÃO DE BLOCOS CERÂMICOS FURADOS NA VERTICAL DE 19X19X39 CM (ESPESSURA 19 CM) E ARGAMASSA DE ASSENTAMENTO COM PREPARO MANUAL. AF_12/2021</t>
  </si>
  <si>
    <t>5.2.4</t>
  </si>
  <si>
    <t>103328</t>
  </si>
  <si>
    <t>ALVENARIA DE VEDAÇÃO DE BLOCOS CERÂMICOS FURADOS NA HORIZONTAL DE 9X19X19 CM (ESPESSURA 9 CM) E ARGAMASSA DE ASSENTAMENTO COM PREPARO EM BETONEIRA. AF_12/2021</t>
  </si>
  <si>
    <t>5.2.5</t>
  </si>
  <si>
    <t>93201</t>
  </si>
  <si>
    <t>FIXAÇÃO (ENCUNHAMENTO) DE ALVENARIA DE VEDAÇÃO COM ARGAMASSA APLICADA COM COLHER. AF_03/2016</t>
  </si>
  <si>
    <t>5.3</t>
  </si>
  <si>
    <t>DIVISÓRIAS</t>
  </si>
  <si>
    <t>5.3.1</t>
  </si>
  <si>
    <t>102253</t>
  </si>
  <si>
    <t>DIVISORIA SANITÁRIA, TIPO CABINE, EM GRANITO CINZA POLIDO, ESP = 3CM, ASSENTADO COM ARGAMASSA COLANTE AC III-E, EXCLUSIVE FERRAGENS. AF_01/2021</t>
  </si>
  <si>
    <t>5.3.2</t>
  </si>
  <si>
    <t>FNDE 63</t>
  </si>
  <si>
    <t>DIVISÓRIA ARTICULADA DE 70 MM DE ESPESSURA EM MDF, REVESTIDO EM LAMINADO MELAMÍNICO</t>
  </si>
  <si>
    <t>5.3.3</t>
  </si>
  <si>
    <t>96370</t>
  </si>
  <si>
    <t>PAREDE COM SISTEMA EM CHAPAS DE GESSO PARA DRYWALL, USO INTERNO, COM UMA FACE SIMPLES E ESTRUTURA METÁLICA COM GUIAS SIMPLES, SEM VÃOS. AF_07/2023_PS</t>
  </si>
  <si>
    <t>5.3.4</t>
  </si>
  <si>
    <t>FNDE 129</t>
  </si>
  <si>
    <t>INSTALAÇÃO DE BOX DE VIDRO TEMPERADO, E = 10 MM, ENCAIXADO EM PERFIL U</t>
  </si>
  <si>
    <t>5.3.5</t>
  </si>
  <si>
    <t>FNDE 62</t>
  </si>
  <si>
    <t>FECHAMENTO EM PLACA CIMENTÍCIA, ESPESSURA 10 MM</t>
  </si>
  <si>
    <t>5.4</t>
  </si>
  <si>
    <t>ALVENARIA DE VEDAÇÃO - MURO</t>
  </si>
  <si>
    <t>5.4.1</t>
  </si>
  <si>
    <t>5.4.2</t>
  </si>
  <si>
    <t>5.4.3</t>
  </si>
  <si>
    <t>5.4.4</t>
  </si>
  <si>
    <t>6</t>
  </si>
  <si>
    <t>ESQUADRIAS</t>
  </si>
  <si>
    <t>6.1</t>
  </si>
  <si>
    <t>PORTAS DE MADEIRA</t>
  </si>
  <si>
    <t>6.1.1</t>
  </si>
  <si>
    <t>FNDE 130</t>
  </si>
  <si>
    <t>PM1 - KIT DE PORTA DE MADEIRA FRISADA, SEMI-OCA (LEVE OU MÉDIA), PADRÃO MÉDIO, 80X210CM, ESPESSURA DE 3,5CM, ITENS INCLUSOS: DOBRADIÇAS, MONTAGEM E INSTALAÇÃO DE BATENTE, FECHADURA COM EXECUÇÃO DO FURO - FORNECIMENTO E INSTALAÇÃO</t>
  </si>
  <si>
    <t>6.1.2</t>
  </si>
  <si>
    <t>FNDE 131</t>
  </si>
  <si>
    <t>PM2 - KIT DE PORTA DE MADEIRA TIPO VENEZIANA, 80X210CM (ESPESSURA DE 3CM), PADRÃO MÉDIO, ITENS INCLUSOS: DOBRADIÇAS, MONTAGEM E INSTALAÇÃO DE BATENTE, FECHADURA COM EXECUÇÃO DO FURO - FORNECIMENTO E INSTALAÇÃO.</t>
  </si>
  <si>
    <t>6.1.3</t>
  </si>
  <si>
    <t>FNDE 132</t>
  </si>
  <si>
    <t>PM3 - KIT DE PORTA DE MADEIRA FRISADA, SEMI-OCA (LEVE OU MÉDIA), PADRÃO MÉDIO, 80X210CM, ESPESSURA DE 3,5CM, ITENS INCLUSOS: DOBRADIÇAS, MONTAGEM E INSTALAÇÃO DE BATENTE, FECHADURA COM EXECUÇÃO DO FURO - FORNECIMENTO E INSTALAÇÃO</t>
  </si>
  <si>
    <t>6.1.4</t>
  </si>
  <si>
    <t>FNDE 133</t>
  </si>
  <si>
    <t>INSTALAÇÃO DE VIDRO LISO INCOLOR ESQUADRIA PM3 , E = 6 MM, EM ESQUADRIA DE MADEIRA, FIXADO COM BAGUETE</t>
  </si>
  <si>
    <t>6.2</t>
  </si>
  <si>
    <t>FERRAGENS E ACESSÓRIOS</t>
  </si>
  <si>
    <t>6.2.1</t>
  </si>
  <si>
    <t>100705</t>
  </si>
  <si>
    <t>TARJETA TIPO LIVRE/OCUPADO PARA PORTA DE BANHEIRO. AF_12/2019</t>
  </si>
  <si>
    <t>6.2.2</t>
  </si>
  <si>
    <t>100866</t>
  </si>
  <si>
    <t>BARRA DE APOIO RETA, EM ACO INOX POLIDO, COMPRIMENTO 60CM, FIXADA NA PAREDE - FORNECIMENTO E INSTALAÇÃO. AF_01/2020</t>
  </si>
  <si>
    <t>6.2.3</t>
  </si>
  <si>
    <t>FNDE 04</t>
  </si>
  <si>
    <t>CHAPA METÁLICA (ALUMÍNIO) 0,90 M X 0,40 M, ESPESSURA 1 MM PARA AS PORTAS</t>
  </si>
  <si>
    <t>M²</t>
  </si>
  <si>
    <t>6.3</t>
  </si>
  <si>
    <t>PORTAS EM ALUMÍNIO</t>
  </si>
  <si>
    <t>6.3.1</t>
  </si>
  <si>
    <t>FNDE 134</t>
  </si>
  <si>
    <t>PORTA DE ABRIR - PA1 - 100 X 210 CM EM CHAPA DE ALUMÍNIO, TIPO VENEZIANA COM GUARNIÇÃO, FIXAÇÃO COM PARAFUSOS - FORNECIMENTO E INSTALAÇÃO - CONFORME PROJETO DE ESQUADRIAS</t>
  </si>
  <si>
    <t>6.3.2</t>
  </si>
  <si>
    <t>FNDE 135</t>
  </si>
  <si>
    <t>PORTA DE ABRIR - PA2 - 90 X 210 CM EM CHAPA DE ALUMÍNIO, TIPO VENEZIANA COM GUARNIÇÃO, FIXAÇÃO COM PARAFUSOS - FORNECIMENTO E INSTALAÇÃO - CONFORME PROJETO DE ESQUADRIAS</t>
  </si>
  <si>
    <t>6.3.3</t>
  </si>
  <si>
    <t>FNDE 136</t>
  </si>
  <si>
    <t>PORTA DE ABRIR - PA3 - 90 X 210 CM EM CHAPA DE ALUMÍNIO, TIPO VENEZIANA COM GUARNIÇÃO, FIXAÇÃO COM PARAFUSOS - FORNECIMENTO E INSTALAÇÃO - CONFORME PROJETO DE ESQUADRIAS</t>
  </si>
  <si>
    <t>6.3.4</t>
  </si>
  <si>
    <t>FNDE 137</t>
  </si>
  <si>
    <t>PORTA DE ABRIR - PA4 - 80 X 165 CM EM CHAPA DE ALUMÍNIO, TIPO VENEZIANA COM GUARNIÇÃO, FIXAÇÃO COM PARAFUSOS - FORNECIMENTO E INSTALAÇÃO - CONFORME PROJETO DE ESQUADRIAS</t>
  </si>
  <si>
    <t>6.3.5</t>
  </si>
  <si>
    <t>FNDE 138</t>
  </si>
  <si>
    <t>PORTA DE ABRIR - PA5 - 70 X 165 CM EM CHAPA DE ALUMÍNIO, TIPO VENEZIANA COM GUARNIÇÃO, FIXAÇÃO COM PARAFUSOS - FORNECIMENTO E INSTALAÇÃO - CONFORME PROJETO DE ESQUADRIAS</t>
  </si>
  <si>
    <t>6.3.6</t>
  </si>
  <si>
    <t>FNDE 139</t>
  </si>
  <si>
    <t>PORTA DE ABRIR - PA6 - 170 X 215 + 70 CM EM CHAPA DE ALUMÍNIO COM BANDEIRA E VIDRO - CONFORME PROJETO DE ESQUADRIAS, INCLUSIVE FERRAGENS E VIDRO MONOLÍTICO</t>
  </si>
  <si>
    <t>6.3.7</t>
  </si>
  <si>
    <t>FNDE 140</t>
  </si>
  <si>
    <t>PORTA DE CORRER - PA7 - 420 X 215 + 70 CM EM CHAPA DE ALUMÍNIO COM BANDEIRA E VIDRO - CONFORME PROJETO DE ESQUADRIAS, INCLUSIVE FERRAGENS E VIDRO</t>
  </si>
  <si>
    <t>6.3.8</t>
  </si>
  <si>
    <t>FNDE 141</t>
  </si>
  <si>
    <t>PORTA DE CORRER - PA8 - 210 X 215 + 70 CM EM CHAPA DE ALUMÍNIO COM BANDEIRA E VIDRO - CONFORME PROJETO DE ESQUADRIAS, INCLUSIVE FERRAGENS E VIDRO</t>
  </si>
  <si>
    <t>6.3.9</t>
  </si>
  <si>
    <t>FNDE 142</t>
  </si>
  <si>
    <t>PORTA DE ABRIR - PA9 - 120 X 210 + 65 CM EM CHAPA DE ALUMÍNIO COM BANDEIRA E VENEZIANA - CONFORME PROJETO DE ESQUADRIAS, INCLUSIVE FERRAGENS</t>
  </si>
  <si>
    <t>6.3.10</t>
  </si>
  <si>
    <t>FNDE 143</t>
  </si>
  <si>
    <t>PORTA DE CORRER - PA10 - 175 X 230 CM EM CHAPA DE ALUMÍNIO COM VENEZIANA - CONFORME PROJETO DE ESQUADRIAS, INCLUSIVE FERRAGENS</t>
  </si>
  <si>
    <t>6.3.11</t>
  </si>
  <si>
    <t>FNDE 144</t>
  </si>
  <si>
    <t>PORTA DE CORRER - PA11- 230 X 240 CM EM CHAPA DE ALUMÍNIO COM VENEZIANA - CONFORME PROJETO DE ESQUADRIAS, INCLUSIVE FERRAGENS</t>
  </si>
  <si>
    <t>6.4</t>
  </si>
  <si>
    <t>JANELAS DE ALUMÍNIO</t>
  </si>
  <si>
    <t>6.4.1</t>
  </si>
  <si>
    <t>FNDE 145</t>
  </si>
  <si>
    <t>JANELA DE ALUMÍNIO - JA-1 - 210 X 130 CM COMPLETA, CONFORME PROJETO DE ESQUADRIAS - GUILHOTINA - INCLUSO VIDRO</t>
  </si>
  <si>
    <t>6.4.2</t>
  </si>
  <si>
    <t>FNDE 146</t>
  </si>
  <si>
    <t>JANELA DE ALUMÍNIO - JA-2 - 150 X 140 CM COMPLETA, CONFORME PROJETO DE ESQUADRIAS - CORRER - INCLUSO VIDRO</t>
  </si>
  <si>
    <t>6.4.3</t>
  </si>
  <si>
    <t>FNDE 147</t>
  </si>
  <si>
    <t>JANELA DE ALUMÍNIO - JA-3 - 280 X 205 CM COMPLETA, CONFORME PROJETO DE ESQUADRIAS - CORRER COM BANDEIRA - INCLUSO VIDRO</t>
  </si>
  <si>
    <t>6.4.4</t>
  </si>
  <si>
    <t>FNDE 148</t>
  </si>
  <si>
    <t>JANELA DE ALUMÍNIO - JA-4 - 280 X 185 CM COMPLETA, CONFORME PROJETO DE ESQUADRIAS - CORRER COM BANDEIRA - INCLUSO VIDRO MONILÍTICO</t>
  </si>
  <si>
    <t>6.4.5</t>
  </si>
  <si>
    <t>FNDE 149</t>
  </si>
  <si>
    <t>JANELA DE ALUMÍNIO - JA-5 - 350 X 185 CM COMPLETA, CONFORME PROJETO DE ESQUADRIAS - CORRER COM BANDEIRA - INCLUSO VIDRO</t>
  </si>
  <si>
    <t>6.4.6</t>
  </si>
  <si>
    <t>FNDE 151</t>
  </si>
  <si>
    <t>JANELA DE ALUMÍNIO - JA-6, 350 X 120 CM COMPLETA, CONFORME PROJETO DE ESQUADRIAS - FIXA - INCLUSO VIDRO</t>
  </si>
  <si>
    <t>6.4.7</t>
  </si>
  <si>
    <t>FNDE 152</t>
  </si>
  <si>
    <t>JANELA DE ALUMÍNIO - JA-7 - 280 X 230 CM COMPLETA, CONFORME PROJETO DE ESQUADRIAS - FIXA COM BANDEIRA - INCLUSO VIDRO</t>
  </si>
  <si>
    <t>6.4.8</t>
  </si>
  <si>
    <t>FNDE 153</t>
  </si>
  <si>
    <t>JANELA DE ALUMÍNIO - JA-8, 700 X 230 CM COMPLETA, CONFORME PROJETO DE ESQUADRIAS - FIXA COM BANDEIRA - INCLUSO VIDRO</t>
  </si>
  <si>
    <t>6.4.9</t>
  </si>
  <si>
    <t>FNDE 154</t>
  </si>
  <si>
    <t>JANELA DE ALUMÍNIO - JA-9 - 85 X 210 CM COMPLETA, CONFORME PROJETO DE ESQUADRIAS MAXIM-AR - INCLUSO VIDRO</t>
  </si>
  <si>
    <t>6.4.10</t>
  </si>
  <si>
    <t>FNDE 155</t>
  </si>
  <si>
    <t>JANELA DE ALUMÍNIO - JA-10 - 150 X 60 CM COMPLETA, CONFORME PROJETO DE ESQUADRIAS - MAXIM-AR - INCLUSO VIDRO</t>
  </si>
  <si>
    <t>6.4.11</t>
  </si>
  <si>
    <t>FNDE 156</t>
  </si>
  <si>
    <t>JANELA DE ALUMÍNIO - JA-11 - 150 X 80 CM COMPLETA, CONFORME PROJETO DE ESQUADRIAS - MAXIM-AR - INCLUSO VIDRO</t>
  </si>
  <si>
    <t>6.4.12</t>
  </si>
  <si>
    <t>FNDE 157</t>
  </si>
  <si>
    <t>JANELA DE ALUMÍNIO - JA-12 - 280 X 80 CM COMPLETA, CONFORME PROJETO DE ESQUADRIAS - MAXIM-AR - INCLUSO VIDRO</t>
  </si>
  <si>
    <t>6.4.13</t>
  </si>
  <si>
    <t>FNDE 158</t>
  </si>
  <si>
    <t>JANELA DE ALUMÍNIO - JA-13 - 280 X 60 CM COMPLETA, CONFORME PROJETO DE ESQUADRIAS - MAXIM-AR - INCLUSO VIDRO</t>
  </si>
  <si>
    <t>6.4.14</t>
  </si>
  <si>
    <t>FNDE 159</t>
  </si>
  <si>
    <t>JANELA DE ALUMÍNIO - JA-14 - 280 X 185 CM COMPLETA, CONFORME PROJETO DE ESQUADRIAS - MAXIM-AR - INCLUSO VIDRO MONOLÍTICO</t>
  </si>
  <si>
    <t>6.4.15</t>
  </si>
  <si>
    <t>FNDE 160</t>
  </si>
  <si>
    <t>JANELA DE ALUMÍNIO - JA-15 - 350 X 80 CM COMPLETA, CONFORME PROJETO DE ESQUADRIAS - MAXIM-AR -INCLUSO VIDRO</t>
  </si>
  <si>
    <t>6.4.16</t>
  </si>
  <si>
    <t>FNDE 05</t>
  </si>
  <si>
    <t>TELA TIPO MOSQUITEIRO - FIXADA NA ESQUADRIA - CONFORME PROJETO DE ESQUADRIAS</t>
  </si>
  <si>
    <t>6.6</t>
  </si>
  <si>
    <t>ESQUADRIA - GERAL</t>
  </si>
  <si>
    <t>6.6.1</t>
  </si>
  <si>
    <t>FNDE 100</t>
  </si>
  <si>
    <t>P01 - PORTÃO METÁLICO DE ABRIR,  3,50 X 2,20 M,  COM CHAPA METÁLICA CARBONO PERFURADA, INCLUSO PINTURA, CONFORME PROJETO DE ESQUADRIAS</t>
  </si>
  <si>
    <t>6.6.2</t>
  </si>
  <si>
    <t>FNDE 102</t>
  </si>
  <si>
    <t>P02 - PORTÃO METÁLICO TIPO GRADIL 3,40 X  2,38 M , MALHA 5 X 20CM - FIO 5,00MM, REVESTIDOS EM POLIESTER POR PROCESSO DE PINTURA ELETROSTÁTICA (GRADIL), NA COR BRANCA - FORNECIMENTO E INSTALAÇÃO</t>
  </si>
  <si>
    <t>6.6.3</t>
  </si>
  <si>
    <t>FNDE 101</t>
  </si>
  <si>
    <t>P03 - PORTÃO METÁLICO DE ABRIR,  1,80 X 1,80 M,  COM CHAPA METÁLICA CARBONO PERFURADA, INCLUSO PINTURA, CONFORME PROJETO DE ESQUADRIAS</t>
  </si>
  <si>
    <t>6.6.4</t>
  </si>
  <si>
    <t>FNDE 103</t>
  </si>
  <si>
    <t>P04 - PORTÃO METÁLICO NYLOFOR 0,90 X  2,03 M , MALHA 5 X 20CM - FIO 5,00MM, REVESTIDOS EM POLIESTER POR PROCESSO DE PINTURA ELETROSTÁTICA (GRADIL), NA COR BRANCA - FORNECIMENTO E INSTALAÇÃO</t>
  </si>
  <si>
    <t>6.6.5</t>
  </si>
  <si>
    <t>FNDE 105</t>
  </si>
  <si>
    <t>FECHAMENTO EM CHAPA METÁLICA PERFURADA, INCLUSO PINTURA, CONFORME PROJETO (GR1, GR2)</t>
  </si>
  <si>
    <t>6.6.6</t>
  </si>
  <si>
    <t>FNDE 104</t>
  </si>
  <si>
    <t>GRADIL METÁLICO E TELA DE AÇO GALVANIZADO FIO 12 BWG, MALHA 2" - JARDIM VERTICAL</t>
  </si>
  <si>
    <t>6.6.7</t>
  </si>
  <si>
    <t>FNDE 61</t>
  </si>
  <si>
    <t>FECHAMENTO COM CHAPA METÁLICA PERFURADA, INCLUSO PINTURA, CONFORME PROJETO</t>
  </si>
  <si>
    <t>7</t>
  </si>
  <si>
    <t>SISTEMAS DE COBERTURA</t>
  </si>
  <si>
    <t>7.1</t>
  </si>
  <si>
    <t>7.1.1</t>
  </si>
  <si>
    <t>FNDE 20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</si>
  <si>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</t>
  </si>
  <si>
    <t>7.1.2</t>
  </si>
  <si>
    <t>FNDE 64</t>
  </si>
  <si>
    <t>CHAPA POLICARBONATO ALVEOLAR CRISTAL ESP.= 6mm</t>
  </si>
  <si>
    <t>7.1.3</t>
  </si>
  <si>
    <t>FNDE 161</t>
  </si>
  <si>
    <t>CALHA EM CHAPA DE AÇO GALVANIZADO (30x15 cm)</t>
  </si>
  <si>
    <t>7.1.4</t>
  </si>
  <si>
    <t>FNDE 162</t>
  </si>
  <si>
    <t>CALHA EM CHAPA DE AÇO GALVANIZADO (35x15cm)</t>
  </si>
  <si>
    <t>7.1.5</t>
  </si>
  <si>
    <t>FNDE 163</t>
  </si>
  <si>
    <t>CALHA EM CHAPA DE AÇO GALVANIZADO (35x20cm)</t>
  </si>
  <si>
    <t>7.1.6</t>
  </si>
  <si>
    <t>FNDE 164</t>
  </si>
  <si>
    <t>CALHA EM CHAPA DE AÇO GALVANIZADO (42,5x15cm)</t>
  </si>
  <si>
    <t>7.1.7</t>
  </si>
  <si>
    <t>FNDE 165</t>
  </si>
  <si>
    <t>CALHA EM CHAPA DE AÇO GALVANIZADO (45x15cm)</t>
  </si>
  <si>
    <t>7.1.8</t>
  </si>
  <si>
    <t>FNDE 166</t>
  </si>
  <si>
    <t>CALHA EM CHAPA DE AÇO GALVANIZADO (40x20cm)</t>
  </si>
  <si>
    <t>7.1.9</t>
  </si>
  <si>
    <t>FNDE 65</t>
  </si>
  <si>
    <t>CUMEEIRA NORMAL PARA TELHA TRAPEZOIDAL DE AÇO, E = 0,5 MM, INCLUSO ACESSÓRIOS DE FIXAÇÃO E IÇAMENTO</t>
  </si>
  <si>
    <t>7.1.10</t>
  </si>
  <si>
    <t>FNDE 167</t>
  </si>
  <si>
    <t>PINGADEIRA EM CHAPA DE AÇO GALVANIZADO</t>
  </si>
  <si>
    <t>7.1.11</t>
  </si>
  <si>
    <t>FNDE 168</t>
  </si>
  <si>
    <t>RUFO-PINGADEIRA EM CHAPA DE AÇO GALVANIZADO</t>
  </si>
  <si>
    <t>7.1.12</t>
  </si>
  <si>
    <t>FNDE 169</t>
  </si>
  <si>
    <t>RUFO EM CHAPA DE AÇO GALVANIZADO</t>
  </si>
  <si>
    <t>7.1.13</t>
  </si>
  <si>
    <t>FNDE 170</t>
  </si>
  <si>
    <t>CONTRA-RUFO LATERAL ACABAMENTO CALHA EM CHAPA METÁLICA DOBRADA, DESENVOLVIMENTO 39 CM</t>
  </si>
  <si>
    <t>7.2</t>
  </si>
  <si>
    <t>QUADRA</t>
  </si>
  <si>
    <t>7.2.1</t>
  </si>
  <si>
    <t>94213</t>
  </si>
  <si>
    <t>TELHAMENTO COM TELHA DE AÇO/ALUMÍNIO E = 0,5 MM, COM ATÉ 2 ÁGUAS, INCLUSO IÇAMENTO. AF_07/2019</t>
  </si>
  <si>
    <t>7.2.2</t>
  </si>
  <si>
    <t>7.2.3</t>
  </si>
  <si>
    <t>FNDE 171</t>
  </si>
  <si>
    <t>TELHAMENTO COM TELHA DE AÇO/ALUMÍNIO E = 0,5 MM, TELHA METÁLICA PERFURADA PARA FECHAMENTO, INCLUSO IÇAMENTO</t>
  </si>
  <si>
    <t>8</t>
  </si>
  <si>
    <t>IMPERMEABILIZAÇÃO</t>
  </si>
  <si>
    <t>8.1</t>
  </si>
  <si>
    <t>FNDE 172</t>
  </si>
  <si>
    <t>IMPERMEABILIZAÇÃO DE VIGA BALDRAME COM EMULSÃO ASFÁLTICA, 2 DEMÃOS</t>
  </si>
  <si>
    <t>8.2</t>
  </si>
  <si>
    <t>FNDE 173</t>
  </si>
  <si>
    <t>IMPERMEABILIZAÇÃO DA LAJE COM EMULSÃO ASFÁLTICA, 2 DEMÃOS</t>
  </si>
  <si>
    <t>8.3</t>
  </si>
  <si>
    <t>FNDE 174</t>
  </si>
  <si>
    <t>IMPERMEABILIZAÇÃO DE PISO COM EMULSÃO ASFÁLTICA, 2 DEMÃOS</t>
  </si>
  <si>
    <t>8.4</t>
  </si>
  <si>
    <t>FNDE 175</t>
  </si>
  <si>
    <t>IMPERMEABILIZAÇÃO DA PAREDE COM EMULSÃO ASFÁLTICA, 2 DEMÃOS</t>
  </si>
  <si>
    <t>8.5</t>
  </si>
  <si>
    <t>87755</t>
  </si>
  <si>
    <t>CONTRAPISO EM ARGAMASSA TRAÇO 1:4 (CIMENTO E AREIA), PREPARO MECÂNICO COM BETONEIRA 400 L, APLICADO EM ÁREAS MOLHADAS SOBRE IMPERMEABILIZAÇÃO, ACABAMENTO NÃO REFORÇADO, ESPESSURA 3CM. AF_07/2021</t>
  </si>
  <si>
    <t>8.6</t>
  </si>
  <si>
    <t>98565</t>
  </si>
  <si>
    <t>PROTEÇÃO MECÂNICA DE SUPERFICIE HORIZONTAL COM ARGAMASSA DE CIMENTO E AREIA, TRAÇO 1:3, E=3CM. AF_09/2023</t>
  </si>
  <si>
    <t>9</t>
  </si>
  <si>
    <t>REVESTIMENTOS INTERNO E EXTERNO</t>
  </si>
  <si>
    <t>9.1</t>
  </si>
  <si>
    <t>9.1.1</t>
  </si>
  <si>
    <t>FNDE 176</t>
  </si>
  <si>
    <t>CHAPISCO APLICADO EM ALVENARIAS E ESTRUTURAS DE CONCRETO EXTERNAS, COM COLHER DE PEDREIRO. ARGAMASSA TRAÇO 1:3 COM PREPARO EM BETONEIRA 400L. - EXTERNO</t>
  </si>
  <si>
    <t>9.1.2</t>
  </si>
  <si>
    <t>FNDE 177</t>
  </si>
  <si>
    <t>CHAPISCO APLICADO EM ALVENARIAS E ESTRUTURAS DE CONCRETO EXTERNAS, COM COLHER DE PEDREIRO. ARGAMASSA TRAÇO 1:3 COM PREPARO EM BETONEIRA 400L. - INTERNO</t>
  </si>
  <si>
    <t>9.1.3</t>
  </si>
  <si>
    <t>FNDE 178</t>
  </si>
  <si>
    <t>EMBOÇO OU MASSA ÚNICA EM ARGAMASSA TRAÇO 1:2:8, PREPARO MECÂNICO COM BETONEIRA 400 L, APLICADA MANUALMENTE EM PANOS CEGOS - REVESTIMENTO INTERNO (SEM PRESENÇA DE VÃOS), ESPESSURA DE 25 MM</t>
  </si>
  <si>
    <t>9.1.4</t>
  </si>
  <si>
    <t>FNDE 179</t>
  </si>
  <si>
    <t>EMBOÇO OU MASSA ÚNICA EM ARGAMASSA TRAÇO 1:2:8, PREPARO MECÂNICO COM BETONEIRA 400 L, APLICADA MANUALMENTE EM PANOS CEGOS - REVESTIMENTO EXTERNO (SEM PRESENÇA DE VÃOS), ESPESSURA DE 25 MM</t>
  </si>
  <si>
    <t>9.1.5</t>
  </si>
  <si>
    <t>87273</t>
  </si>
  <si>
    <t>REVESTIMENTO CERÂMICO PARA PAREDES INTERNAS COM PLACAS TIPO ESMALTADA EXTRA  DE DIMENSÕES 33X45 CM APLICADAS NA ALTURA INTEIRA DAS PAREDES. AF_02/2023_PE</t>
  </si>
  <si>
    <t>9.1.6</t>
  </si>
  <si>
    <t>FNDE 180</t>
  </si>
  <si>
    <t>REVESTIMENTO CERÂMICO PARA PAREDES COM PLACAS TIPO ESMALTADA EXTRA DE DIMENSÕES 10X10 CM, COR CINZA CLAROAPLICADAS NA ALTURA INTEIRA DAS PAREDES.</t>
  </si>
  <si>
    <t>9.1.7</t>
  </si>
  <si>
    <t>FNDE 181</t>
  </si>
  <si>
    <t>REVESTIMENTO CERÂMICO PARA PAREDES COM PLACAS TIPO ESMALTADA EXTRA DE DIMENSÕES 10X10 CM, COR LARANJA APLICADAS NA ALTURA INTEIRA DAS PAREDES.</t>
  </si>
  <si>
    <t>9.1.8</t>
  </si>
  <si>
    <t>FNDE 245</t>
  </si>
  <si>
    <t>RODA MEIO EM MADEIRA, ALTURA 7CM, FIXADO COM COLA</t>
  </si>
  <si>
    <t>9.1.9</t>
  </si>
  <si>
    <t>96114</t>
  </si>
  <si>
    <t>FORRO EM DRYWALL, PARA AMBIENTES COMERCIAIS, INCLUSIVE ESTRUTURA BIRECIONAL DE FIXAÇÃO. AF_08/2023_PS</t>
  </si>
  <si>
    <t>9.1.10</t>
  </si>
  <si>
    <t>FNDE 18</t>
  </si>
  <si>
    <t>FORRO DE FIBRA MINERAL EM PLACAS DE 625 X 625 MM, E = 15 MM, BORDA RETA, COM PINTURA ANTIMOFO, APOIADO EM PERFIL DE ACO GALVANIZADO COM 24 MM DE BASE - INSTALADO</t>
  </si>
  <si>
    <t>9.1.11</t>
  </si>
  <si>
    <t>FNDE 66</t>
  </si>
  <si>
    <t>FORRO DE TELA ONDULADA EM ARAME GALVANIZADO - COR NATURAL</t>
  </si>
  <si>
    <t>9.2</t>
  </si>
  <si>
    <t>MURETA</t>
  </si>
  <si>
    <t>9.2.1</t>
  </si>
  <si>
    <t>87879</t>
  </si>
  <si>
    <t>CHAPISCO APLICADO EM ALVENARIAS E ESTRUTURAS DE CONCRETO INTERNAS, COM COLHER DE PEDREIRO.  ARGAMASSA TRAÇO 1:3 COM PREPARO EM BETONEIRA 400L. AF_10/2022</t>
  </si>
  <si>
    <t>9.2.2</t>
  </si>
  <si>
    <t>87792</t>
  </si>
  <si>
    <t>EMBOÇO OU MASSA ÚNICA EM ARGAMASSA TRAÇO 1:2:8, PREPARO MECÂNICO COM BETONEIRA 400 L, APLICADA MANUALMENTE EM PANOS CEGOS DE FACHADA (SEM PRESENÇA DE VÃOS), ESPESSURA DE 25 MM. AF_08/2022</t>
  </si>
  <si>
    <t>10</t>
  </si>
  <si>
    <t>SISTEMAS DE PISOS</t>
  </si>
  <si>
    <t>10.1</t>
  </si>
  <si>
    <t>PAVIMENTAÇÃO INTERNA</t>
  </si>
  <si>
    <t>10.1.1</t>
  </si>
  <si>
    <t>FNDE 182</t>
  </si>
  <si>
    <t>CONTRAPISO DE CONCRETO NÃO-ESTRUTURAL, ESPESSURA 3 CM E PREPARO MECÂNICO</t>
  </si>
  <si>
    <t>10.1.2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</si>
  <si>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</si>
  <si>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</si>
  <si>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10.1.3</t>
  </si>
  <si>
    <t>10.1.4</t>
  </si>
  <si>
    <t>87251</t>
  </si>
  <si>
    <t>REVESTIMENTO CERÂMICO PARA PISO COM PLACAS TIPO ESMALTADA EXTRA DE DIMENSÕES 45X45 CM APLICADA EM AMBIENTES DE ÁREA MAIOR QUE 10 M2. AF_02/2023_PE</t>
  </si>
  <si>
    <t>10.1.5</t>
  </si>
  <si>
    <t>FNDE 184</t>
  </si>
  <si>
    <t>RODAPÉ CERÂMICO H= 10 CM</t>
  </si>
  <si>
    <t>10.1.6</t>
  </si>
  <si>
    <t>FNDE 185</t>
  </si>
  <si>
    <t>RODAPÉ EM GRANITINA, ALTURA 10CM</t>
  </si>
  <si>
    <t>10.1.7</t>
  </si>
  <si>
    <t>98689</t>
  </si>
  <si>
    <t>SOLEIRA EM GRANITO, LARGURA 15 CM, ESPESSURA 2,0 CM. AF_09/2020</t>
  </si>
  <si>
    <t>10.1.8</t>
  </si>
  <si>
    <t>FNDE 186</t>
  </si>
  <si>
    <t>SOLEIRA EM GRANITO, LARGURA 20 CM, ESPESSURA 2,0 CM</t>
  </si>
  <si>
    <t>10.2</t>
  </si>
  <si>
    <t>PAVIMENTAÇÃO EXTERNA</t>
  </si>
  <si>
    <t>10.2.1</t>
  </si>
  <si>
    <t>98682</t>
  </si>
  <si>
    <t>PISO CIMENTADO, TRAÇO 1:3 (CIMENTO E AREIA), ACABAMENTO RÚSTICO, ESPESSURA 3,0 CM, PREPARO MECÂNICO DA ARGAMASSA. AF_09/2020</t>
  </si>
  <si>
    <t>10.2.2</t>
  </si>
  <si>
    <t>98680</t>
  </si>
  <si>
    <t>PISO CIMENTADO, TRAÇO 1:3 (CIMENTO E AREIA), ACABAMENTO LISO, ESPESSURA 3,0 CM, PREPARO MECÂNICO DA ARGAMASSA. AF_09/2020</t>
  </si>
  <si>
    <t>10.2.3</t>
  </si>
  <si>
    <t>92396</t>
  </si>
  <si>
    <t>EXECUÇÃO DE PASSEIO EM PISO INTERTRAVADO, COM BLOCO RETANGULAR COR NATURAL DE 20 X 10 CM, ESPESSURA 6 CM. AF_10/2022</t>
  </si>
  <si>
    <t>10.2.4</t>
  </si>
  <si>
    <t>92391</t>
  </si>
  <si>
    <t>EXECUÇÃO DE PAVIMENTO EM PISO INTERTRAVADO, COM BLOCO PISOGRAMA DE 35 X 15 CM, ESPESSURA 6 CM. AF_10/2022</t>
  </si>
  <si>
    <t>10.2.5</t>
  </si>
  <si>
    <t>FNDE 189</t>
  </si>
  <si>
    <t>PISO PODOTÁTIL DIRECIONAL, COR VERMELHA, DE CONCRETO, ASSENTADO SOBRE ARGAMASSA</t>
  </si>
  <si>
    <t>10.2.6</t>
  </si>
  <si>
    <t>FNDE 190</t>
  </si>
  <si>
    <t>PISO PODOTÁTIL DE ALERTA, COR VERMELHA, DE CONCRETO, ASSENTADO SOBRE ARGAMASSA</t>
  </si>
  <si>
    <t>10.2.7</t>
  </si>
  <si>
    <t>FNDE 191</t>
  </si>
  <si>
    <t>PISO PODOTÁTIL DE ALERTA, COR AMARELA, DE CONCRETO, ASSENTADO SOBRE ARGAMASSA</t>
  </si>
  <si>
    <t>10.2.8</t>
  </si>
  <si>
    <t>FNDE 10</t>
  </si>
  <si>
    <t>COLCHÃO DRENANTE DE AREIA H= 30 CM</t>
  </si>
  <si>
    <t>10.2.9</t>
  </si>
  <si>
    <t>98504</t>
  </si>
  <si>
    <t>PLANTIO DE GRAMA BATATAIS EM PLACAS. AF_05/2018</t>
  </si>
  <si>
    <t>10.2.10</t>
  </si>
  <si>
    <t>94263</t>
  </si>
  <si>
    <t>GUIA (MEIO-FIO) CONCRETO, MOLDADA  IN LOCO  EM TRECHO RETO COM EXTRUSORA, 13 CM BASE X 22 CM ALTURA. AF_01/2024</t>
  </si>
  <si>
    <t>11</t>
  </si>
  <si>
    <t>PINTURAS E ACABAMENTOS</t>
  </si>
  <si>
    <t>11.1</t>
  </si>
  <si>
    <t>11.1.1</t>
  </si>
  <si>
    <t>FNDE 192</t>
  </si>
  <si>
    <t>EMASSAMENTO COM MASSA CORRIDA PVA, APLICAÇÃO EM TETO, UMA DEMÃO, LIXAMENTO MANUAL</t>
  </si>
  <si>
    <t>11.1.2</t>
  </si>
  <si>
    <t>88497</t>
  </si>
  <si>
    <t>EMASSAMENTO COM MASSA LÁTEX, APLICAÇÃO EM PAREDE, DUAS DEMÃOS, LIXAMENTO MANUAL. AF_04/2023</t>
  </si>
  <si>
    <t>11.1.3</t>
  </si>
  <si>
    <t>FNDE 193</t>
  </si>
  <si>
    <t>EMASSAMENTO DE PAREDES COM MASSA ACRÍLICA, DUAS DEMÃOS, ÁREAS MOLHADAS</t>
  </si>
  <si>
    <t>11.1.4</t>
  </si>
  <si>
    <t>FNDE 194</t>
  </si>
  <si>
    <t>PINTURA LÁTEX PVA, APLICAÇÃO MANUAL EM PAREDES, DUAS DEMÃOS, COR BRANCO GELO</t>
  </si>
  <si>
    <t>11.1.5</t>
  </si>
  <si>
    <t>FNDE 195</t>
  </si>
  <si>
    <t>PINTURA LÁTEX PVA, APLICAÇÃO MANUAL EM PAREDES, DUAS DEMÃOS, COR BRANCO NEVE - PLACA CIMENTÍCIA/PLATIBANDA</t>
  </si>
  <si>
    <t>11.1.6</t>
  </si>
  <si>
    <t>88488</t>
  </si>
  <si>
    <t>PINTURA LÁTEX PVA, APLICAÇÃO MANUAL EM TETO, DUAS DEMÃOS</t>
  </si>
  <si>
    <t>11.1.7</t>
  </si>
  <si>
    <t>FNDE 196</t>
  </si>
  <si>
    <t>PINTURA LÁTEX ACRÍLICA, SOBRE REBOCO LISO, COR CINZA CLARO, APLICAÇÃO MANUAL EM PAREDES, DUAS DEMÃOS</t>
  </si>
  <si>
    <t>11.1.8</t>
  </si>
  <si>
    <t>FNDE 197</t>
  </si>
  <si>
    <t>PINTURA LÁTEX ACRÍLICA, SOBRE REBOCO LISO, COR LARANJA, APLICAÇÃO MANUAL EM PAREDES, DUAS DEMÃOS</t>
  </si>
  <si>
    <t>11.1.9</t>
  </si>
  <si>
    <t>FNDE 198</t>
  </si>
  <si>
    <t>PINTURA LÁTEX ACRÍLICA, SOBRE MASSA ACRÍLICA, COR BRANCO GELO, AREAS MOLHADAS</t>
  </si>
  <si>
    <t>11.1.10</t>
  </si>
  <si>
    <t>FNDE 200</t>
  </si>
  <si>
    <t>PINTURA EM ESMALTE SINTÉTICO EM ESQUADRIAS DE MADEIRA, 2 DEMÃOS</t>
  </si>
  <si>
    <t>11.1.11</t>
  </si>
  <si>
    <t>FNDE 201</t>
  </si>
  <si>
    <t>PINTURA EM ESMALTE SINTÉTICO EM RODAMEIO DE MADEIRA, 2 DEMÃOS - COR BRANCO</t>
  </si>
  <si>
    <t>11.1.12</t>
  </si>
  <si>
    <t>FNDE 199</t>
  </si>
  <si>
    <t>PINTURA LÁTEX ACRÍLICA SOBRE PAREDES EXTERNAS, COR LARANJA, APLICAÇÃO MANUAL EM PAREDES, DUAS DEMÃOS</t>
  </si>
  <si>
    <t>11.1.13</t>
  </si>
  <si>
    <t>FNDE 202</t>
  </si>
  <si>
    <t>TEXTURA ACRÍLICA, COR BRANCA, APLICAÇÃO MANUAL EM PAREDE EXTERNA, UMA DEMÃO</t>
  </si>
  <si>
    <t>11.1.14</t>
  </si>
  <si>
    <t>FNDE 203</t>
  </si>
  <si>
    <t>TEXTURA ACRÍLICA, COR CINZA CLARO, APLICAÇÃO MANUAL EM PAREDE EXTERNA, UMA DEMÃO</t>
  </si>
  <si>
    <t>11.1.15</t>
  </si>
  <si>
    <t>FNDE 204</t>
  </si>
  <si>
    <t>TEXTURA ACRÍLICA, COR CINZA ESCURO, APLICAÇÃO MANUAL EM PAREDE EXTERNA, UMA DEMÃO</t>
  </si>
  <si>
    <t>11.2</t>
  </si>
  <si>
    <t>11.2.1</t>
  </si>
  <si>
    <t>11.2.2</t>
  </si>
  <si>
    <t>11.3</t>
  </si>
  <si>
    <t>DIVERSOS</t>
  </si>
  <si>
    <t>11.3.1</t>
  </si>
  <si>
    <t>11.3.1.1</t>
  </si>
  <si>
    <t>100724</t>
  </si>
  <si>
    <t>PINTURA COM TINTA ALQUÍDICA DE FUNDO E ACABAMENTO (ESMALTE SINTÉTICO GRAFITE) APLICADA A ROLO OU PINCEL SOBRE PERFIL METÁLICO EXECUTADO EM FÁBRICA (POR DEMÃO). AF_01/2020</t>
  </si>
  <si>
    <t>11.3.2</t>
  </si>
  <si>
    <t>11.3.2.1</t>
  </si>
  <si>
    <t>102494</t>
  </si>
  <si>
    <t>PINTURA DE PISO COM TINTA EPÓXI, APLICAÇÃO MANUAL, 2 DEMÃOS, INCLUSO PRIMER EPÓXI. AF_05/2021</t>
  </si>
  <si>
    <t>12</t>
  </si>
  <si>
    <t>INSTALAÇÃO HIDRÁULICA</t>
  </si>
  <si>
    <t>12.1</t>
  </si>
  <si>
    <t>TUBULAÇÕES E CONEXÕES DE PVC RÍGIDO</t>
  </si>
  <si>
    <t>12.1.1</t>
  </si>
  <si>
    <t>89356</t>
  </si>
  <si>
    <t>TUBO, PVC, SOLDÁVEL, DN 25MM, INSTALADO EM RAMAL OU SUB-RAMAL DE ÁGUA - FORNECIMENTO E INSTALAÇÃO. AF_06/2022</t>
  </si>
  <si>
    <t>12.1.2</t>
  </si>
  <si>
    <t>89357</t>
  </si>
  <si>
    <t>TUBO, PVC, SOLDÁVEL, DN 32MM, INSTALADO EM RAMAL OU SUB-RAMAL DE ÁGUA - FORNECIMENTO E INSTALAÇÃO. AF_06/2022</t>
  </si>
  <si>
    <t>12.1.3</t>
  </si>
  <si>
    <t>103979</t>
  </si>
  <si>
    <t>TUBO, PVC, SOLDÁVEL, DN 50MM, INSTALADO EM RAMAL DE DISTRIBUIÇÃO DE ÁGUA - FORNECIMENTO E INSTALAÇÃO. AF_06/2022</t>
  </si>
  <si>
    <t>12.1.4</t>
  </si>
  <si>
    <t>89450</t>
  </si>
  <si>
    <t>TUBO, PVC, SOLDÁVEL, DN 60MM, INSTALADO EM PRUMADA DE ÁGUA - FORNECIMENTO E INSTALAÇÃO. AF_06/2022</t>
  </si>
  <si>
    <t>12.1.5</t>
  </si>
  <si>
    <t>89451</t>
  </si>
  <si>
    <t>TUBO, PVC, SOLDÁVEL, DN 75MM, INSTALADO EM PRUMADA DE ÁGUA - FORNECIMENTO E INSTALAÇÃO. AF_06/2022</t>
  </si>
  <si>
    <t>12.1.6</t>
  </si>
  <si>
    <t>89429</t>
  </si>
  <si>
    <t>ADAPTADOR CURTO COM BOLSA E ROSCA PARA REGISTRO, PVC, SOLDÁVEL, DN 25MM X 3/4 , INSTALADO EM RAMAL DE DISTRIBUIÇÃO DE ÁGUA - FORNECIMENTO E INSTALAÇÃO. AF_06/2022</t>
  </si>
  <si>
    <t>12.1.7</t>
  </si>
  <si>
    <t>89553</t>
  </si>
  <si>
    <t>ADAPTADOR CURTO COM BOLSA E ROSCA PARA REGISTRO, PVC, SOLDÁVEL, DN 32MM X 1 , INSTALADO EM PRUMADA DE ÁGUA - FORNECIMENTO E INSTALAÇÃO. AF_06/2022</t>
  </si>
  <si>
    <t>12.1.8</t>
  </si>
  <si>
    <t>104001</t>
  </si>
  <si>
    <t>ADAPTADOR CURTO COM BOLSA E ROSCA PARA REGISTRO, PVC, SOLDÁVEL, DN 50MM X 1.1/2", INSTALADO EM RAMAL DE DISTRIBUIÇÃO DE ÁGUA - FORNECIMENTO E INSTALAÇÃO. AF_06/2022</t>
  </si>
  <si>
    <t>12.1.9</t>
  </si>
  <si>
    <t>104002</t>
  </si>
  <si>
    <t>ADAPTADOR CURTO COM BOLSA E ROSCA PARA REGISTRO, PVC, SOLDÁVEL, DN 50MM X 1.1/4", INSTALADO EM RAMAL DE DISTRIBUIÇÃO DE ÁGUA - FORNECIMENTO E INSTALAÇÃO. AF_06/2022</t>
  </si>
  <si>
    <t>12.1.10</t>
  </si>
  <si>
    <t>89610</t>
  </si>
  <si>
    <t>ADAPTADOR CURTO COM BOLSA E ROSCA PARA REGISTRO, PVC, SOLDÁVEL, DN 60MM X 2 , INSTALADO EM PRUMADA DE ÁGUA - FORNECIMENTO E INSTALAÇÃO. AF_06/2022</t>
  </si>
  <si>
    <t>12.1.11</t>
  </si>
  <si>
    <t>89613</t>
  </si>
  <si>
    <t>ADAPTADOR CURTO COM BOLSA E ROSCA PARA REGISTRO, PVC, SOLDÁVEL, DN 75MM X 2.1/2", INSTALADO EM PRUMADA DE ÁGUA - FORNECIMENTO E INSTALAÇÃO. AF_12/2014</t>
  </si>
  <si>
    <t>12.1.12</t>
  </si>
  <si>
    <t>103953</t>
  </si>
  <si>
    <t>BUCHA DE REDUÇÃO, CURTA, PVC, SOLDÁVEL, DN 32 X 25 MM, INSTALADO EM RAMAL DE DISTRIBUIÇÃO DE ÁGUA - FORNECIMENTO E INSTALAÇÃO. AF_06/2022</t>
  </si>
  <si>
    <t>12.1.13</t>
  </si>
  <si>
    <t>103959</t>
  </si>
  <si>
    <t>BUCHA DE REDUÇÃO, CURTA, PVC, SOLDÁVEL, DN 60 X 50 MM, INSTALADO EM PRUMADA DE ÁGUA - FORNECIMENTO E INSTALAÇÃO. AF_06/2022</t>
  </si>
  <si>
    <t>12.1.14</t>
  </si>
  <si>
    <t>FNDE 205</t>
  </si>
  <si>
    <t>BUCHA DE REDUÇÃO, CURTA, PVC, SOLDÁVEL, DN 75 X 60 MM, INSTALADO EM PRUMADA DE ÁGUA - FORNECIMENTO E INSTALAÇÃO</t>
  </si>
  <si>
    <t>12.1.15</t>
  </si>
  <si>
    <t>103999</t>
  </si>
  <si>
    <t>BUCHA DE REDUÇÃO, LONGA, PVC, SOLDÁVEL, DN 50 X 25 MM, INSTALADO EM RAMAL DE DISTRIBUIÇÃO DE ÁGUA - FORNECIMENTO E INSTALAÇÃO. AF_06/2022</t>
  </si>
  <si>
    <t>12.1.16</t>
  </si>
  <si>
    <t>FNDE 206</t>
  </si>
  <si>
    <t>BUCHA DE REDUÇÃO, LONGA, PVC, SOLDÁVEL, DN 50 X 32 MM, INSTALADO EM RAMAL DE DISTRIBUIÇÃO DE ÁGUA - FORNECIMENTO E INSTALAÇÃO.</t>
  </si>
  <si>
    <t>12.1.17</t>
  </si>
  <si>
    <t>103968</t>
  </si>
  <si>
    <t>BUCHA DE REDUÇÃO, LONGA, PVC, SOLDÁVEL, DN 60 X 25 MM, INSTALADO EM PRUMADA DE ÁGUA - FORNECIMENTO E INSTALAÇÃO. AF_06/2022</t>
  </si>
  <si>
    <t>12.1.18</t>
  </si>
  <si>
    <t>103969</t>
  </si>
  <si>
    <t>BUCHA DE REDUÇÃO, LONGA, PVC, SOLDÁVEL, DN 60 X 32 MM, INSTALADO EM PRUMADA DE ÁGUA - FORNECIMENTO E INSTALAÇÃO. AF_06/2022</t>
  </si>
  <si>
    <t>12.1.19</t>
  </si>
  <si>
    <t>89380</t>
  </si>
  <si>
    <t>LUVA DE REDUÇÃO, PVC, SOLDÁVEL, DN 32MM X 25MM, INSTALADO EM RAMAL OU SUB-RAMAL DE ÁGUA - FORNECIMENTO E INSTALAÇÃO. AF_06/2022</t>
  </si>
  <si>
    <t>12.1.20</t>
  </si>
  <si>
    <t>89541</t>
  </si>
  <si>
    <t>LUVA, PVC, SOLDÁVEL, DN 32MM, INSTALADO EM PRUMADA DE ÁGUA - FORNECIMENTO E INSTALAÇÃO. AF_06/2022</t>
  </si>
  <si>
    <t>12.1.21</t>
  </si>
  <si>
    <t>89597</t>
  </si>
  <si>
    <t>LUVA, PVC, SOLDÁVEL, DN 60MM, INSTALADO EM PRUMADA DE ÁGUA - FORNECIMENTO E INSTALAÇÃO. AF_06/2022</t>
  </si>
  <si>
    <t>12.1.22</t>
  </si>
  <si>
    <t>89362</t>
  </si>
  <si>
    <t>JOELHO 90 GRAUS, PVC, SOLDÁVEL, DN 25MM, INSTALADO EM RAMAL OU SUB-RAMAL DE ÁGUA - FORNECIMENTO E INSTALAÇÃO. AF_06/2022</t>
  </si>
  <si>
    <t>12.1.23</t>
  </si>
  <si>
    <t>89367</t>
  </si>
  <si>
    <t>JOELHO 90 GRAUS, PVC, SOLDÁVEL, DN 32MM, INSTALADO EM RAMAL OU SUB-RAMAL DE ÁGUA - FORNECIMENTO E INSTALAÇÃO. AF_06/2022</t>
  </si>
  <si>
    <t>12.1.24</t>
  </si>
  <si>
    <t>89501</t>
  </si>
  <si>
    <t>JOELHO 90 GRAUS, PVC, SOLDÁVEL, DN 50MM, INSTALADO EM PRUMADA DE ÁGUA - FORNECIMENTO E INSTALAÇÃO. AF_06/2022</t>
  </si>
  <si>
    <t>12.1.25</t>
  </si>
  <si>
    <t>89505</t>
  </si>
  <si>
    <t>JOELHO 90 GRAUS, PVC, SOLDÁVEL, DN 60MM, INSTALADO EM PRUMADA DE ÁGUA - FORNECIMENTO E INSTALAÇÃO. AF_06/2022</t>
  </si>
  <si>
    <t>12.1.26</t>
  </si>
  <si>
    <t>89513</t>
  </si>
  <si>
    <t>JOELHO 90 GRAUS, PVC, SOLDÁVEL, DN 75MM, INSTALADO EM PRUMADA DE ÁGUA - FORNECIMENTO E INSTALAÇÃO. AF_06/2022</t>
  </si>
  <si>
    <t>12.1.27</t>
  </si>
  <si>
    <t>89366</t>
  </si>
  <si>
    <t>JOELHO 90 GRAUS COM BUCHA DE LATÃO, PVC, SOLDÁVEL, DN 25MM, X 3/4  INSTALADO EM RAMAL OU SUB-RAMAL DE ÁGUA - FORNECIMENTO E INSTALAÇÃO. AF_06/2022</t>
  </si>
  <si>
    <t>12.1.28</t>
  </si>
  <si>
    <t>90373</t>
  </si>
  <si>
    <t>JOELHO 90 GRAUS COM BUCHA DE LATÃO, PVC, SOLDÁVEL, DN 25MM, X 1/2  INSTALADO EM RAMAL OU SUB-RAMAL DE ÁGUA - FORNECIMENTO E INSTALAÇÃO. AF_06/2022</t>
  </si>
  <si>
    <t>12.1.29</t>
  </si>
  <si>
    <t>89440</t>
  </si>
  <si>
    <t>TE, PVC, SOLDÁVEL, DN 25MM, INSTALADO EM RAMAL DE DISTRIBUIÇÃO DE ÁGUA - FORNECIMENTO E INSTALAÇÃO. AF_06/2022</t>
  </si>
  <si>
    <t>12.1.30</t>
  </si>
  <si>
    <t>89443</t>
  </si>
  <si>
    <t>TE, PVC, SOLDÁVEL, DN 32MM, INSTALADO EM RAMAL DE DISTRIBUIÇÃO DE ÁGUA - FORNECIMENTO E INSTALAÇÃO. AF_06/2022</t>
  </si>
  <si>
    <t>12.1.31</t>
  </si>
  <si>
    <t>89625</t>
  </si>
  <si>
    <t>TE, PVC, SOLDÁVEL, DN 50MM, INSTALADO EM PRUMADA DE ÁGUA - FORNECIMENTO E INSTALAÇÃO. AF_06/2022</t>
  </si>
  <si>
    <t>12.1.32</t>
  </si>
  <si>
    <t>89628</t>
  </si>
  <si>
    <t>TE, PVC, SOLDÁVEL, DN 60MM, INSTALADO EM PRUMADA DE ÁGUA - FORNECIMENTO E INSTALAÇÃO. AF_06/2022</t>
  </si>
  <si>
    <t>12.1.33</t>
  </si>
  <si>
    <t>89629</t>
  </si>
  <si>
    <t>TE, PVC, SOLDÁVEL, DN 75MM, INSTALADO EM PRUMADA DE ÁGUA - FORNECIMENTO E INSTALAÇÃO. AF_06/2022</t>
  </si>
  <si>
    <t>12.1.34</t>
  </si>
  <si>
    <t>89622</t>
  </si>
  <si>
    <t>TÊ DE REDUÇÃO, PVC, SOLDÁVEL, DN 32MM X 25MM, INSTALADO EM PRUMADA DE ÁGUA - FORNECIMENTO E INSTALAÇÃO. AF_06/2022</t>
  </si>
  <si>
    <t>12.1.35</t>
  </si>
  <si>
    <t>89627</t>
  </si>
  <si>
    <t>TÊ DE REDUÇÃO, PVC, SOLDÁVEL, DN 50MM X 25MM, INSTALADO EM PRUMADA DE ÁGUA - FORNECIMENTO E INSTALAÇÃO. AF_06/2022</t>
  </si>
  <si>
    <t>12.1.36</t>
  </si>
  <si>
    <t>FNDE 207</t>
  </si>
  <si>
    <t>TÊ DE REDUÇÃO, PVC, SOLDÁVEL, DN 50MM X 32 MM, INSTALADO EM PRUMADA DE ÁGUA - FORNECIMENTO E INSTALAÇÃO.</t>
  </si>
  <si>
    <t>12.1.37</t>
  </si>
  <si>
    <t>FNDE 208</t>
  </si>
  <si>
    <t>TÊ DE REDUÇÃO, PVC, SOLDÁVEL, DN 75MM X 60 MM, INSTALADO EM PRUMADA DE ÁGUA - FORNECIMENTO E INSTALAÇÃO.</t>
  </si>
  <si>
    <t>12.1.38</t>
  </si>
  <si>
    <t>89396</t>
  </si>
  <si>
    <t>TÊ COM BUCHA DE LATÃO NA BOLSA CENTRAL, PVC, SOLDÁVEL, DN 25MM X 1/2 , INSTALADO EM RAMAL OU SUB-RAMAL DE ÁGUA - FORNECIMENTO E INSTALAÇÃO. AF_06/2022</t>
  </si>
  <si>
    <t>12.1.39</t>
  </si>
  <si>
    <t>90374</t>
  </si>
  <si>
    <t>TÊ COM BUCHA DE LATÃO NA BOLSA CENTRAL, PVC, SOLDÁVEL, DN 25MM X 3/4 , INSTALADO EM RAMAL OU SUB-RAMAL DE ÁGUA - FORNECIMENTO E INSTALAÇÃO. AF_06/2022</t>
  </si>
  <si>
    <t>12.2</t>
  </si>
  <si>
    <t>TUBULAÇÕES E CONEXÕES - METAIS</t>
  </si>
  <si>
    <t>12.2.1</t>
  </si>
  <si>
    <t>94495</t>
  </si>
  <si>
    <t>REGISTRO DE GAVETA BRUTO, LATÃO, ROSCÁVEL, 1" - FORNECIMENTO E INSTALAÇÃO. AF_08/2021</t>
  </si>
  <si>
    <t>12.2.2</t>
  </si>
  <si>
    <t>94499</t>
  </si>
  <si>
    <t>REGISTRO DE GAVETA BRUTO, LATÃO, ROSCÁVEL, 2 1/2" - FORNECIMENTO E INSTALAÇÃO. AF_08/2021</t>
  </si>
  <si>
    <t>12.2.3</t>
  </si>
  <si>
    <t>94498</t>
  </si>
  <si>
    <t>REGISTRO DE GAVETA BRUTO, LATÃO, ROSCÁVEL, 2" - FORNECIMENTO E INSTALAÇÃO. AF_08/2021</t>
  </si>
  <si>
    <t>12.2.4</t>
  </si>
  <si>
    <t>94794</t>
  </si>
  <si>
    <t>REGISTRO DE GAVETA BRUTO, LATÃO, ROSCÁVEL, 1 1/2", COM ACABAMENTO E CANOPLA CROMADOS - FORNECIMENTO E INSTALAÇÃO. AF_08/2021</t>
  </si>
  <si>
    <t>12.2.5</t>
  </si>
  <si>
    <t>89987</t>
  </si>
  <si>
    <t>REGISTRO DE GAVETA BRUTO, LATÃO, ROSCÁVEL, 3/4", COM ACABAMENTO E CANOPLA CROMADOS - FORNECIMENTO E INSTALAÇÃO. AF_08/2021</t>
  </si>
  <si>
    <t>12.2.6</t>
  </si>
  <si>
    <t>89985</t>
  </si>
  <si>
    <t>REGISTRO DE PRESSÃO BRUTO, LATÃO, ROSCÁVEL, 3/4", COM ACABAMENTO E CANOPLA CROMADOS - FORNECIMENTO E INSTALAÇÃO. AF_08/2021</t>
  </si>
  <si>
    <t>12.2.7</t>
  </si>
  <si>
    <t>99631</t>
  </si>
  <si>
    <t>VÁLVULA DE RETENÇÃO VERTICAL, DE BRONZE, ROSCÁVEL, 1 1/2" - FORNECIMENTO E INSTALAÇÃO. AF_08/2021</t>
  </si>
  <si>
    <t>12.2.8</t>
  </si>
  <si>
    <t>99622</t>
  </si>
  <si>
    <t>VÁLVULA DE RETENÇÃO HORIZONTAL, DE BRONZE, ROSCÁVEL, 1 1/2"  - FORNECIMENTO E INSTALAÇÃO. AF_08/2021</t>
  </si>
  <si>
    <t>12.3</t>
  </si>
  <si>
    <t>12.3.1</t>
  </si>
  <si>
    <t>FNDE 77</t>
  </si>
  <si>
    <t>PRESSURIZADOR (GRUPO DE PRESSÃO) - Pressão Máxima: 32 (m.c.a.);Vazão Máxima: 52.000 (l/h)</t>
  </si>
  <si>
    <t>12.3.2</t>
  </si>
  <si>
    <t>BOMBA CENTRÍFUGA, TRIFÁSICA, 0,5 CV - FORNECIMENTO E INSTALAÇÃO</t>
  </si>
  <si>
    <t>12.3.3</t>
  </si>
  <si>
    <t>102609</t>
  </si>
  <si>
    <t>CAIXA D´ÁGUA EM POLIETILENO, 2000 LITROS - FORNECIMENTO E INSTALAÇÃO. AF_06/2021</t>
  </si>
  <si>
    <t>12.4</t>
  </si>
  <si>
    <t>SISTEMA DE REUSO DE ÁGUA</t>
  </si>
  <si>
    <t>12.4.1</t>
  </si>
  <si>
    <t>FNDE 78</t>
  </si>
  <si>
    <t>CISTERNA MODULAR 600 Litros</t>
  </si>
  <si>
    <t>12.4.2</t>
  </si>
  <si>
    <t>FNDE 79</t>
  </si>
  <si>
    <t>SMART FILTRO</t>
  </si>
  <si>
    <t>12.4.3</t>
  </si>
  <si>
    <t>92692</t>
  </si>
  <si>
    <t>NIPLE, EM FERRO GALVANIZADO, CONEXÃO ROSQUEADA, DN 15 (1/2"), INSTALADO EM RAMAIS E SUB-RAMAIS DE GÁS - FORNECIMENTO E INSTALAÇÃO. AF_10/2020</t>
  </si>
  <si>
    <t>12.4.4</t>
  </si>
  <si>
    <t>86884</t>
  </si>
  <si>
    <t>ENGATE FLEXÍVEL EM PLÁSTICO BRANCO, 1/2" X 30CM - FORNECIMENTO E INSTALAÇÃO. AF_01/2020</t>
  </si>
  <si>
    <t>12.5</t>
  </si>
  <si>
    <t>CAIXA DÁGUA 40.000 L</t>
  </si>
  <si>
    <t>12.5.1</t>
  </si>
  <si>
    <t>FNDE 81</t>
  </si>
  <si>
    <t>RESERVATÓRIO D'ÁGUA CONFORME PROJETO  40M3 - COLUNA SECA 10,0M PINTADA</t>
  </si>
  <si>
    <t>13</t>
  </si>
  <si>
    <t>DRENAGEM DE ÁGUAS PLUVIAIS</t>
  </si>
  <si>
    <t>13.1</t>
  </si>
  <si>
    <t>TUBULAÇÕES E CONEXÕES DE PVC</t>
  </si>
  <si>
    <t>13.1.1</t>
  </si>
  <si>
    <t>89578</t>
  </si>
  <si>
    <t>TUBO PVC, SÉRIE R, ÁGUA PLUVIAL, DN 100 MM, FORNECIDO E INSTALADO EM CONDUTORES VERTICAIS DE ÁGUAS PLUVIAIS. AF_06/2022</t>
  </si>
  <si>
    <t>13.1.2</t>
  </si>
  <si>
    <t>89580</t>
  </si>
  <si>
    <t>TUBO PVC, SÉRIE R, ÁGUA PLUVIAL, DN 150 MM, FORNECIDO E INSTALADO EM CONDUTORES VERTICAIS DE ÁGUAS PLUVIAIS. AF_06/2022</t>
  </si>
  <si>
    <t>13.1.3</t>
  </si>
  <si>
    <t>90702</t>
  </si>
  <si>
    <t>TUBO DE PVC CORRUGADO DE DUPLA PAREDE PARA REDE COLETORA DE ESGOTO, DN 200 MM, JUNTA ELÁSTICA - FORNECIMENTO E ASSENTAMENTO. AF_01/2021</t>
  </si>
  <si>
    <t>13.1.4</t>
  </si>
  <si>
    <t>90703</t>
  </si>
  <si>
    <t>TUBO DE PVC CORRUGADO DE DUPLA PAREDE PARA REDE COLETORA DE ESGOTO, DN 250 MM, JUNTA ELÁSTICA - FORNECIMENTO E ASSENTAMENTO. AF_01/2021</t>
  </si>
  <si>
    <t>13.1.5</t>
  </si>
  <si>
    <t>90704</t>
  </si>
  <si>
    <t>TUBO DE PVC CORRUGADO DE DUPLA PAREDE PARA REDE COLETORA DE ESGOTO, DN 300 MM, JUNTA ELÁSTICA - FORNECIMENTO E ASSENTAMENTO. AF_01/2021</t>
  </si>
  <si>
    <t>13.1.6</t>
  </si>
  <si>
    <t>90706</t>
  </si>
  <si>
    <t>TUBO DE PVC CORRUGADO DE DUPLA PAREDE PARA REDE COLETORA DE ESGOTO, DN 400 MM, JUNTA ELÁSTICA - FORNECIMENTO E ASSENTAMENTO. AF_01/2021</t>
  </si>
  <si>
    <t>13.1.7</t>
  </si>
  <si>
    <t>89585</t>
  </si>
  <si>
    <t>JOELHO 45 GRAUS, PVC, SERIE R, ÁGUA PLUVIAL, DN 100 MM, JUNTA ELÁSTICA, FORNECIDO E INSTALADO EM CONDUTORES VERTICAIS DE ÁGUAS PLUVIAIS. AF_06/2022</t>
  </si>
  <si>
    <t>13.1.8</t>
  </si>
  <si>
    <t>89591</t>
  </si>
  <si>
    <t>JOELHO 45 GRAUS, PVC, SERIE R, ÁGUA PLUVIAL, DN 150 MM, JUNTA ELÁSTICA, FORNECIDO E INSTALADO EM CONDUTORES VERTICAIS DE ÁGUAS PLUVIAIS. AF_06/2022</t>
  </si>
  <si>
    <t>13.1.9</t>
  </si>
  <si>
    <t>89584</t>
  </si>
  <si>
    <t>JOELHO 90 GRAUS, PVC, SERIE R, ÁGUA PLUVIAL, DN 100 MM, JUNTA ELÁSTICA, FORNECIDO E INSTALADO EM CONDUTORES VERTICAIS DE ÁGUAS PLUVIAIS. AF_06/2022</t>
  </si>
  <si>
    <t>13.1.10</t>
  </si>
  <si>
    <t>89590</t>
  </si>
  <si>
    <t>JOELHO 90 GRAUS, PVC, SERIE R, ÁGUA PLUVIAL, DN 150 MM, JUNTA ELÁSTICA, FORNECIDO E INSTALADO EM CONDUTORES VERTICAIS DE ÁGUAS PLUVIAIS. AF_06/2022</t>
  </si>
  <si>
    <t>13.1.11</t>
  </si>
  <si>
    <t>89567</t>
  </si>
  <si>
    <t>JUNÇÃO SIMPLES, PVC, SERIE R, ÁGUA PLUVIAL, DN 100 X 100 MM, JUNTA ELÁSTICA, FORNECIDO E INSTALADO EM RAMAL DE ENCAMINHAMENTO. AF_06/2022</t>
  </si>
  <si>
    <t>13.1.12</t>
  </si>
  <si>
    <t>89699</t>
  </si>
  <si>
    <t>JUNÇÃO SIMPLES, PVC, SERIE R, ÁGUA PLUVIAL, DN 150 X 100 MM, JUNTA ELÁSTICA, FORNECIDO E INSTALADO EM CONDUTORES VERTICAIS DE ÁGUAS PLUVIAIS. AF_06/2022</t>
  </si>
  <si>
    <t>13.1.13</t>
  </si>
  <si>
    <t>89698</t>
  </si>
  <si>
    <t>JUNÇÃO SIMPLES, PVC, SERIE R, ÁGUA PLUVIAL, DN 150 X 150 MM, JUNTA ELÁSTICA, FORNECIDO E INSTALADO EM CONDUTORES VERTICAIS DE ÁGUAS PLUVIAIS. AF_06/2022</t>
  </si>
  <si>
    <t>13.1.14</t>
  </si>
  <si>
    <t>89669</t>
  </si>
  <si>
    <t>LUVA SIMPLES, PVC, SERIE R, ÁGUA PLUVIAL, DN 100 MM, JUNTA ELÁSTICA, FORNECIDO E INSTALADO EM CONDUTORES VERTICAIS DE ÁGUAS PLUVIAIS. AF_06/2022</t>
  </si>
  <si>
    <t>13.1.15</t>
  </si>
  <si>
    <t>89693</t>
  </si>
  <si>
    <t>TÊ, PVC, SERIE R, ÁGUA PLUVIAL, DN 100 X 100 MM, JUNTA ELÁSTICA, FORNECIDO E INSTALADO EM CONDUTORES VERTICAIS DE ÁGUAS PLUVIAIS. AF_06/2022</t>
  </si>
  <si>
    <t>13.1.16</t>
  </si>
  <si>
    <t>89681</t>
  </si>
  <si>
    <t>REDUÇÃO EXCÊNTRICA, PVC, SERIE R, ÁGUA PLUVIAL, DN 150 X 100 MM, JUNTA ELÁSTICA, FORNECIDO E INSTALADO EM CONDUTORES VERTICAIS DE ÁGUAS PLUVIAIS. AF_06/2022</t>
  </si>
  <si>
    <t>13.1.17</t>
  </si>
  <si>
    <t>FNDE 111</t>
  </si>
  <si>
    <t>ADAPTADOR PARA BOCAL DE CALHA RETANGULAR  - DIAMETRO DA SAIDA ENTRE *75 E 150* MM, PARA DRENAGEM PLUVIAL PREDIAL</t>
  </si>
  <si>
    <t>13.2</t>
  </si>
  <si>
    <t>ACESSÓRIOS</t>
  </si>
  <si>
    <t>13.2.1</t>
  </si>
  <si>
    <t>99253</t>
  </si>
  <si>
    <t>CAIXA ENTERRADA HIDRÁULICA RETANGULAR EM ALVENARIA COM TIJOLOS CERÂMICOS MACIÇOS, DIMENSÕES INTERNAS: 0,6X0,6X0,6 M PARA REDE DE DRENAGEM. AF_12/2020</t>
  </si>
  <si>
    <t>13.2.2</t>
  </si>
  <si>
    <t>99268</t>
  </si>
  <si>
    <t>POÇO DE INSPEÇÃO CIRCULAR PARA DRENAGEM, EM CONCRETO PRÉ-MOLDADO, DIÂMETRO INTERNO = 0,60 M, PROFUNDIDADE = 0,90 M, EXCLUINDO TAMPÃO. AF_12/2020_PA</t>
  </si>
  <si>
    <t>13.2.3</t>
  </si>
  <si>
    <t>FNDE 80</t>
  </si>
  <si>
    <t>GRELHA DE FERRO P/ CALHAS E CAIXAS</t>
  </si>
  <si>
    <t>14</t>
  </si>
  <si>
    <t>INSTALAÇÃO SANITÁRIA</t>
  </si>
  <si>
    <t>14.1</t>
  </si>
  <si>
    <t>TUBULAÇÕES E CONEXÕES</t>
  </si>
  <si>
    <t>14.1.1</t>
  </si>
  <si>
    <t>89711</t>
  </si>
  <si>
    <t>TUBO PVC, SERIE NORMAL, ESGOTO PREDIAL, DN 40 MM, FORNECIDO E INSTALADO EM RAMAL DE DESCARGA OU RAMAL DE ESGOTO SANITÁRIO. AF_08/2022</t>
  </si>
  <si>
    <t>14.1.2</t>
  </si>
  <si>
    <t>89712</t>
  </si>
  <si>
    <t>TUBO PVC, SERIE NORMAL, ESGOTO PREDIAL, DN 50 MM, FORNECIDO E INSTALADO EM RAMAL DE DESCARGA OU RAMAL DE ESGOTO SANITÁRIO. AF_08/2022</t>
  </si>
  <si>
    <t>14.1.3</t>
  </si>
  <si>
    <t>89713</t>
  </si>
  <si>
    <t>TUBO PVC, SERIE NORMAL, ESGOTO PREDIAL, DN 75 MM, FORNECIDO E INSTALADO EM RAMAL DE DESCARGA OU RAMAL DE ESGOTO SANITÁRIO. AF_08/2022</t>
  </si>
  <si>
    <t>14.1.4</t>
  </si>
  <si>
    <t>89714</t>
  </si>
  <si>
    <t>TUBO PVC, SERIE NORMAL, ESGOTO PREDIAL, DN 100 MM, FORNECIDO E INSTALADO EM RAMAL DE DESCARGA OU RAMAL DE ESGOTO SANITÁRIO. AF_08/2022</t>
  </si>
  <si>
    <t>14.1.5</t>
  </si>
  <si>
    <t>89849</t>
  </si>
  <si>
    <t>TUBO PVC, SERIE NORMAL, ESGOTO PREDIAL, DN 150 MM, FORNECIDO E INSTALADO EM SUBCOLETOR AÉREO DE ESGOTO SANITÁRIO. AF_08/2022</t>
  </si>
  <si>
    <t>14.1.6</t>
  </si>
  <si>
    <t>89726</t>
  </si>
  <si>
    <t>JOELHO 45 GRAUS, PVC, SERIE NORMAL, ESGOTO PREDIAL, DN 40 MM, JUNTA SOLDÁVEL, FORNECIDO E INSTALADO EM RAMAL DE DESCARGA OU RAMAL DE ESGOTO SANITÁRIO. AF_08/2022</t>
  </si>
  <si>
    <t>14.1.7</t>
  </si>
  <si>
    <t>89732</t>
  </si>
  <si>
    <t>JOELHO 45 GRAUS, PVC, SERIE NORMAL, ESGOTO PREDIAL, DN 50 MM, JUNTA ELÁSTICA, FORNECIDO E INSTALADO EM RAMAL DE DESCARGA OU RAMAL DE ESGOTO SANITÁRIO. AF_08/2022</t>
  </si>
  <si>
    <t>14.1.8</t>
  </si>
  <si>
    <t>89739</t>
  </si>
  <si>
    <t>JOELHO 45 GRAUS, PVC, SERIE NORMAL, ESGOTO PREDIAL, DN 75 MM, JUNTA ELÁSTICA, FORNECIDO E INSTALADO EM RAMAL DE DESCARGA OU RAMAL DE ESGOTO SANITÁRIO. AF_08/2022</t>
  </si>
  <si>
    <t>14.1.9</t>
  </si>
  <si>
    <t>89746</t>
  </si>
  <si>
    <t>JOELHO 45 GRAUS, PVC, SERIE NORMAL, ESGOTO PREDIAL, DN 100 MM, JUNTA ELÁSTICA, FORNECIDO E INSTALADO EM RAMAL DE DESCARGA OU RAMAL DE ESGOTO SANITÁRIO. AF_08/2022</t>
  </si>
  <si>
    <t>14.1.10</t>
  </si>
  <si>
    <t>89724</t>
  </si>
  <si>
    <t>JOELHO 90 GRAUS, PVC, SERIE NORMAL, ESGOTO PREDIAL, DN 40 MM, JUNTA SOLDÁVEL, FORNECIDO E INSTALADO EM RAMAL DE DESCARGA OU RAMAL DE ESGOTO SANITÁRIO. AF_08/2022</t>
  </si>
  <si>
    <t>14.1.11</t>
  </si>
  <si>
    <t>89731</t>
  </si>
  <si>
    <t>JOELHO 90 GRAUS, PVC, SERIE NORMAL, ESGOTO PREDIAL, DN 50 MM, JUNTA ELÁSTICA, FORNECIDO E INSTALADO EM RAMAL DE DESCARGA OU RAMAL DE ESGOTO SANITÁRIO. AF_08/2022</t>
  </si>
  <si>
    <t>14.1.12</t>
  </si>
  <si>
    <t>89744</t>
  </si>
  <si>
    <t>JOELHO 90 GRAUS, PVC, SERIE NORMAL, ESGOTO PREDIAL, DN 100 MM, JUNTA ELÁSTICA, FORNECIDO E INSTALADO EM RAMAL DE DESCARGA OU RAMAL DE ESGOTO SANITÁRIO. AF_08/2022</t>
  </si>
  <si>
    <t>14.1.13</t>
  </si>
  <si>
    <t>FNDE 209</t>
  </si>
  <si>
    <t>JUNÇÃO SIMPLES, PVC, SERIE NORMAL, ESGOTO PREDIAL, DN 100 X 50 MM, JUNTA ELÁSTICA, FORNECIDO E INSTALADO EM PRUMADA DE ESGOTO SANITÁRIO OU VENTILAÇÃO</t>
  </si>
  <si>
    <t>14.1.14</t>
  </si>
  <si>
    <t>89834</t>
  </si>
  <si>
    <t>JUNÇÃO SIMPLES, PVC, SERIE NORMAL, ESGOTO PREDIAL, DN 100 X 100 MM, JUNTA ELÁSTICA, FORNECIDO E INSTALADO EM PRUMADA DE ESGOTO SANITÁRIO OU VENTILAÇÃO. AF_08/2022</t>
  </si>
  <si>
    <t>14.1.15</t>
  </si>
  <si>
    <t>89827</t>
  </si>
  <si>
    <t>JUNÇÃO SIMPLES, PVC, SERIE NORMAL, ESGOTO PREDIAL, DN 50 X 50 MM, JUNTA ELÁSTICA, FORNECIDO E INSTALADO EM PRUMADA DE ESGOTO SANITÁRIO OU VENTILAÇÃO. AF_08/2022</t>
  </si>
  <si>
    <t>14.1.16</t>
  </si>
  <si>
    <t>FNDE 210</t>
  </si>
  <si>
    <t>JUNÇÃO SIMPLES, PVC, SERIE NORMAL, ESGOTO PREDIAL, DN 75 X 50 MM, JUNTA ELÁSTICA, FORNECIDO E INSTALADO EM RAMAL DE DESCARGA OU RAMAL DE ESGOTO SANITÁRIO</t>
  </si>
  <si>
    <t>14.1.17</t>
  </si>
  <si>
    <t>104341</t>
  </si>
  <si>
    <t>BUCHA DE REDUÇÃO LONGA, PVC, SÉRIE NORMAL, ESGOTO PREDIAL, DN 50 X 40 MM, JUNTA SOLDÁVEL E ELÁSTICA, FORNECIDO E INSTALADO EM RAMAL DE DESCARGA OU RAMAL DE ESGOTO SANITÁRIO. AF_08/2022</t>
  </si>
  <si>
    <t>14.1.18</t>
  </si>
  <si>
    <t>89728</t>
  </si>
  <si>
    <t>CURVA CURTA 90 GRAUS, PVC, SERIE NORMAL, ESGOTO PREDIAL, DN 40 MM, JUNTA SOLDÁVEL, FORNECIDO E INSTALADO EM RAMAL DE DESCARGA OU RAMAL DE ESGOTO SANITÁRIO. AF_08/2022</t>
  </si>
  <si>
    <t>14.1.19</t>
  </si>
  <si>
    <t>14.1.20</t>
  </si>
  <si>
    <t>89557</t>
  </si>
  <si>
    <t>REDUÇÃO EXCÊNTRICA, PVC, SERIE R, ÁGUA PLUVIAL, DN 100 X 75 MM, JUNTA ELÁSTICA, FORNECIDO E INSTALADO EM RAMAL DE ENCAMINHAMENTO. AF_06/2022</t>
  </si>
  <si>
    <t>14.1.21</t>
  </si>
  <si>
    <t>89549</t>
  </si>
  <si>
    <t>REDUÇÃO EXCÊNTRICA, PVC, SERIE R, ÁGUA PLUVIAL, DN 75 X 50 MM, JUNTA ELÁSTICA, FORNECIDO E INSTALADO EM RAMAL DE ENCAMINHAMENTO. AF_06/2022</t>
  </si>
  <si>
    <t>14.1.22</t>
  </si>
  <si>
    <t>89707</t>
  </si>
  <si>
    <t>CAIXA SIFONADA, PVC, DN 100 X 100 X 50 MM, JUNTA ELÁSTICA, FORNECIDA E INSTALADA EM RAMAL DE DESCARGA OU EM RAMAL DE ESGOTO SANITÁRIO. AF_08/2022</t>
  </si>
  <si>
    <t>14.1.23</t>
  </si>
  <si>
    <t>104328</t>
  </si>
  <si>
    <t>CAIXA SIFONADA, COM GRELHA QUADRADA, PVC, DN 150 X 150 X 50 MM, JUNTA SOLDÁVEL, FORNECIDA E INSTALADA EM RAMAL DE DESCARGA OU EM RAMAL DE ESGOTO SANITÁRIO. AF_08/2022</t>
  </si>
  <si>
    <t>14.1.24</t>
  </si>
  <si>
    <t>FNDE 211</t>
  </si>
  <si>
    <t>CORPO CAIXA SECA 100 X 100 X 40 CM</t>
  </si>
  <si>
    <t>14.1.25</t>
  </si>
  <si>
    <t>14.1.26</t>
  </si>
  <si>
    <t>97974</t>
  </si>
  <si>
    <t>POÇO DE INSPEÇÃO CIRCULAR PARA ESGOTO, EM CONCRETO PRÉ-MOLDADO, DIÂMETRO INTERNO = 0,60 M, PROFUNDIDADE = 0,90 M, EXCLUINDO TAMPÃO. AF_12/2020_PA</t>
  </si>
  <si>
    <t>14.2</t>
  </si>
  <si>
    <t>UNIDADE DE TRATAMENTO</t>
  </si>
  <si>
    <t>14.2.1</t>
  </si>
  <si>
    <t>98087</t>
  </si>
  <si>
    <t>TANQUE SÉPTICO RETANGULAR, EM ALVENARIA COM BLOCOS DE CONCRETO, DIMENSÕES INTERNAS: 1,6 X 4,6 X H=2,4 M, VOLUME ÚTIL: 14720 L (PARA 105 CONTRIBUINTES). AF_12/2020</t>
  </si>
  <si>
    <t>14.2.2</t>
  </si>
  <si>
    <t>98065</t>
  </si>
  <si>
    <t>SUMIDOURO CIRCULAR, EM CONCRETO PRÉ-MOLDADO, DIÂMETRO INTERNO = 2,88 M, ALTURA INTERNA = 3,0 M, ÁREA DE INFILTRAÇÃO: 31,4 M² (PARA 12 CONTRIBUINTES). AF_12/2020_PA</t>
  </si>
  <si>
    <t>14.2.3</t>
  </si>
  <si>
    <t>98090</t>
  </si>
  <si>
    <t>FILTRO ANAERÓBIO RETANGULAR, EM ALVENARIA COM BLOCOS DE CONCRETO, DIMENSÕES INTERNAS: 1,4 X 3,0 X H=1,67 M, VOLUME ÚTIL: 5040 L (PARA 32 CONTRIBUINTES). AF_12/2020</t>
  </si>
  <si>
    <t>14.3</t>
  </si>
  <si>
    <t>VENTILAÇÃO</t>
  </si>
  <si>
    <t>14.3.1</t>
  </si>
  <si>
    <t>14.3.2</t>
  </si>
  <si>
    <t>89511</t>
  </si>
  <si>
    <t>TUBO PVC, SÉRIE R, ÁGUA PLUVIAL, DN 75 MM, FORNECIDO E INSTALADO EM RAMAL DE ENCAMINHAMENTO. AF_06/2022</t>
  </si>
  <si>
    <t>14.3.3</t>
  </si>
  <si>
    <t>14.3.4</t>
  </si>
  <si>
    <t>14.3.5</t>
  </si>
  <si>
    <t>14.3.6</t>
  </si>
  <si>
    <t>89737</t>
  </si>
  <si>
    <t>JOELHO 90 GRAUS, PVC, SERIE NORMAL, ESGOTO PREDIAL, DN 75 MM, JUNTA ELÁSTICA, FORNECIDO E INSTALADO EM RAMAL DE DESCARGA OU RAMAL DE ESGOTO SANITÁRIO. AF_08/2022</t>
  </si>
  <si>
    <t>14.3.7</t>
  </si>
  <si>
    <t>FNDE 213</t>
  </si>
  <si>
    <t>JUNÇÃO SIMPLES, PVC, SERIE R, ÁGUA PLUVIAL, DN 50 X 50 MM, JUNTA ELÁSTICA, FORNECIDO E INSTALADO EM RAMAL DE ENCAMINHAMENTO</t>
  </si>
  <si>
    <t>14.3.8</t>
  </si>
  <si>
    <t>FNDE 212</t>
  </si>
  <si>
    <t>JUNÇÃO SIMPLES, PVC, SERIE R, ÁGUA PLUVIAL, DN 75 X 50 MM, JUNTA ELÁSTICA, FORNECIDO E INSTALADO EM CONDUTORES VERTICAIS DE ÁGUAS PLUVIAIS</t>
  </si>
  <si>
    <t>14.3.9</t>
  </si>
  <si>
    <t>89685</t>
  </si>
  <si>
    <t>JUNÇÃO SIMPLES, PVC, SERIE R, ÁGUA PLUVIAL, DN 75 X 75 MM, JUNTA ELÁSTICA, FORNECIDO E INSTALADO EM CONDUTORES VERTICAIS DE ÁGUAS PLUVIAIS. AF_06/2022</t>
  </si>
  <si>
    <t>14.3.10</t>
  </si>
  <si>
    <t>89774</t>
  </si>
  <si>
    <t>LUVA SIMPLES, PVC, SERIE NORMAL, ESGOTO PREDIAL, DN 75 MM, JUNTA ELÁSTICA, FORNECIDO E INSTALADO EM RAMAL DE DESCARGA OU RAMAL DE ESGOTO SANITÁRIO. AF_08/2022</t>
  </si>
  <si>
    <t>14.3.11</t>
  </si>
  <si>
    <t>14.3.12</t>
  </si>
  <si>
    <t>104348</t>
  </si>
  <si>
    <t>TERMINAL DE VENTILAÇÃO, PVC, SÉRIE NORMAL, ESGOTO PREDIAL, DN 50 MM, JUNTA SOLDÁVEL, FORNECIDO E INSTALADO EM PRUMADA DE ESGOTO SANITÁRIO OU VENTILAÇÃO. AF_08/2022</t>
  </si>
  <si>
    <t>14.3.13</t>
  </si>
  <si>
    <t>104351</t>
  </si>
  <si>
    <t>TERMINAL DE VENTILAÇÃO, PVC, SÉRIE NORMAL, ESGOTO PREDIAL, DN 75 MM, JUNTA SOLDÁVEL, FORNECIDO E INSTALADO EM PRUMADA DE ESGOTO SANITÁRIO OU VENTILAÇÃO. AF_08/2022</t>
  </si>
  <si>
    <t>14.3.14</t>
  </si>
  <si>
    <t>FNDE 214</t>
  </si>
  <si>
    <t>TÊ, PVC, SERIE R, ÁGUA PLUVIAL, DN 100 X 50 MM, JUNTA ELÁSTICA, FORNECIDO E INSTALADO EM CONDUTORES VERTICAIS DE ÁGUAS PLUVIAIS</t>
  </si>
  <si>
    <t>14.3.15</t>
  </si>
  <si>
    <t>89696</t>
  </si>
  <si>
    <t>TÊ, PVC, SERIE R, ÁGUA PLUVIAL, DN 100 X 75 MM, JUNTA ELÁSTICA, FORNECIDO E INSTALADO EM CONDUTORES VERTICAIS DE ÁGUAS PLUVIAIS. AF_06/2022</t>
  </si>
  <si>
    <t>14.3.16</t>
  </si>
  <si>
    <t>89784</t>
  </si>
  <si>
    <t>TE, PVC, SERIE NORMAL, ESGOTO PREDIAL, DN 50 X 50 MM, JUNTA ELÁSTICA, FORNECIDO E INSTALADO EM RAMAL DE DESCARGA OU RAMAL DE ESGOTO SANITÁRIO. AF_08/2022</t>
  </si>
  <si>
    <t>14.3.17</t>
  </si>
  <si>
    <t>89687</t>
  </si>
  <si>
    <t>TÊ, PVC, SERIE R, ÁGUA PLUVIAL, DN 75 X 75 MM, JUNTA ELÁSTICA, FORNECIDO E INSTALADO EM CONDUTORES VERTICAIS DE ÁGUAS PLUVIAIS. AF_06/2022</t>
  </si>
  <si>
    <t>15</t>
  </si>
  <si>
    <t>LOUÇAS, ACESSÓRIOS E METAIS</t>
  </si>
  <si>
    <t>15.1</t>
  </si>
  <si>
    <t>95470</t>
  </si>
  <si>
    <t>VASO SANITARIO SIFONADO CONVENCIONAL COM LOUÇA BRANCA, INCLUSO CONJUNTO DE LIGAÇÃO PARA BACIA SANITÁRIA AJUSTÁVEL - FORNECIMENTO E INSTALAÇÃO. AF_10/2016</t>
  </si>
  <si>
    <t>15.2</t>
  </si>
  <si>
    <t>FNDE 215</t>
  </si>
  <si>
    <t>VÁLVULA DE DESCARGA METÁLICA, DUPLO ACIONAMENTO ECO, BASE 1 1/2", ACABAMENTO METALICO CROMADO - FORNECIMENTO E INSTALAÇÃO</t>
  </si>
  <si>
    <t>15.3</t>
  </si>
  <si>
    <t>100849</t>
  </si>
  <si>
    <t>ASSENTO SANITÁRIO CONVENCIONAL - FORNECIMENTO E INSTALACAO. AF_01/2020</t>
  </si>
  <si>
    <t>15.4</t>
  </si>
  <si>
    <t>100858</t>
  </si>
  <si>
    <t>MICTÓRIO SIFONADO LOUÇA BRANCA - PADRÃO MÉDIO - FORNECIMENTO E INSTALAÇÃO. AF_01/2020</t>
  </si>
  <si>
    <t>15.5</t>
  </si>
  <si>
    <t>FNDE 117</t>
  </si>
  <si>
    <t>SIFÃO PARA MICTÓRIO, DECA 1681, 1 X 2", ACABAMENTO CROMODADO E SIMILAR</t>
  </si>
  <si>
    <t>15.6</t>
  </si>
  <si>
    <t>86937</t>
  </si>
  <si>
    <t>CUBA DE EMBUTIR OVAL EM LOUÇA BRANCA, 35 X 50CM OU EQUIVALENTE, INCLUSO VÁLVULA EM METAL CROMADO E SIFÃO FLEXÍVEL EM PVC - FORNECIMENTO E INSTALAÇÃO. AF_01/2020</t>
  </si>
  <si>
    <t>15.7</t>
  </si>
  <si>
    <t>FNDE 216</t>
  </si>
  <si>
    <t>CUBA DE EMBUTIR RETANGULAR DE AÇO INOXIDÁVEL, 40 X 34 X 14 CM - FORNECIMENTO E INSTALAÇÃO</t>
  </si>
  <si>
    <t>15.8</t>
  </si>
  <si>
    <t>FNDE 217</t>
  </si>
  <si>
    <t>CUBA DE EMBUTIR RETANGULAR DE AÇO INOXIDÁVEL, 50 X 40 X 20 CM - FORNECIMENTO E INSTALAÇÃO</t>
  </si>
  <si>
    <t>15.9</t>
  </si>
  <si>
    <t>FNDE 218</t>
  </si>
  <si>
    <t>CUBA DE EMBUTIR RETANGULAR DE AÇO INOXIDÁVEL, 60 X 50 X 40 CM - FORNECIMENTO E INSTALAÇÃO</t>
  </si>
  <si>
    <t>15.10</t>
  </si>
  <si>
    <t>FNDE 219</t>
  </si>
  <si>
    <t>LAVATÓRIO DE CANTO, LOUÇA BRANCA SUSPENSO, 29,5 X 39CM OU EQUIVALENTE, PADRÃO POPULAR - FORNECIMENTO E INSTALAÇÃO</t>
  </si>
  <si>
    <t>15.11</t>
  </si>
  <si>
    <t>86904</t>
  </si>
  <si>
    <t>LAVATÓRIO LOUÇA BRANCA SUSPENSO, 29,5 X 39CM OU EQUIVALENTE, PADRÃO POPULAR - FORNECIMENTO E INSTALAÇÃO. AF_01/2020</t>
  </si>
  <si>
    <t>15.12</t>
  </si>
  <si>
    <t>FNDE 82</t>
  </si>
  <si>
    <t>LAVATÓRIO SOBREPOR, DECA OU EQUIVALENTE</t>
  </si>
  <si>
    <t>15.13</t>
  </si>
  <si>
    <t>FNDE 220</t>
  </si>
  <si>
    <t>TANQUE DE LOUÇA BRANCA COM COLUNA, 40L OU EQUIVALENTE - FORNECIMENTO E INSTALAÇÃO</t>
  </si>
  <si>
    <t>15.14</t>
  </si>
  <si>
    <t>100860</t>
  </si>
  <si>
    <t>CHUVEIRO ELÉTRICO COMUM CORPO PLÁSTICO, TIPO DUCHA - FORNECIMENTO E INSTALAÇÃO. AF_01/2020</t>
  </si>
  <si>
    <t>15.15</t>
  </si>
  <si>
    <t>FNDE 221</t>
  </si>
  <si>
    <t>PORTA PAPEL HIGIÊNICO, CONFORME PROJETO</t>
  </si>
  <si>
    <t>15.16</t>
  </si>
  <si>
    <t>FNDE 16</t>
  </si>
  <si>
    <t>PAPELEIRA PLASTICA TIPO DISPENSER PARA PAPEL HIGIENICO ROLAO</t>
  </si>
  <si>
    <t>15.17</t>
  </si>
  <si>
    <t>FNDE 17</t>
  </si>
  <si>
    <t>DUCHA / CHUVEIRO METALICO, DE PAREDE, ARTICULAVEL, COM DESVIADOR E DUCHA MANUAL</t>
  </si>
  <si>
    <t>15.18</t>
  </si>
  <si>
    <t>FNDE 14</t>
  </si>
  <si>
    <t>TORNEIRA ELETRICA DE PAREDE, BICA ALTA, PARA COZINHA, 5500 W (110/220 V)</t>
  </si>
  <si>
    <t>15.19</t>
  </si>
  <si>
    <t>FNDE 222</t>
  </si>
  <si>
    <t>TORNEIRA DE MESA BICA MÓVEL, CONFORME PROJETO</t>
  </si>
  <si>
    <t>15.20</t>
  </si>
  <si>
    <t>FNDE 223</t>
  </si>
  <si>
    <t>TORNEIRA DE PAREDE, CONFORME PROJETO</t>
  </si>
  <si>
    <t>15.21</t>
  </si>
  <si>
    <t>FNDE 224</t>
  </si>
  <si>
    <t>TORNEIRA CROMADA DE MESA, 1/2? OU 3/4?, PARA LAVATÓRIO, COM TEMPORIZADOR - FORNECIMENTO E INSTALAÇÃO.</t>
  </si>
  <si>
    <t>15.22</t>
  </si>
  <si>
    <t>FNDE 225</t>
  </si>
  <si>
    <t>TORNEIRA CROMADA DE MESA PARA LAVATORIO, TIPO MONOCOMANDO - ACIONAMENTO TIPO ALAVANCA</t>
  </si>
  <si>
    <t>15.23</t>
  </si>
  <si>
    <t>95547</t>
  </si>
  <si>
    <t>SABONETEIRA PLASTICA TIPO DISPENSER PARA SABONETE LIQUIDO COM RESERVATORIO 800 A 1500 ML, INCLUSO FIXAÇÃO. AF_01/2020</t>
  </si>
  <si>
    <t>15.24</t>
  </si>
  <si>
    <t>FNDE 15</t>
  </si>
  <si>
    <t>TOALHEIRO PLASTICO TIPO DISPENSER PARA PAPEL TOALHA INTERFOLHADO</t>
  </si>
  <si>
    <t>15.25</t>
  </si>
  <si>
    <t>FNDE 34</t>
  </si>
  <si>
    <t>CABIDE/GANCHO DE BANHEIRO SIMPLES EM METAL CROMADO</t>
  </si>
  <si>
    <t>15.26</t>
  </si>
  <si>
    <t>86877</t>
  </si>
  <si>
    <t>VÁLVULA EM METAL CROMADO 1.1/2" X 1.1/2" PARA TANQUE OU LAVATÓRIO, COM OU SEM LADRÃO - FORNECIMENTO E INSTALAÇÃO. AF_01/2020</t>
  </si>
  <si>
    <t>15.27</t>
  </si>
  <si>
    <t>86878</t>
  </si>
  <si>
    <t>VÁLVULA EM METAL CROMADO TIPO AMERICANA 3.1/2" X 1.1/2" PARA PIA - FORNECIMENTO E INSTALAÇÃO. AF_01/2020</t>
  </si>
  <si>
    <t>15.28</t>
  </si>
  <si>
    <t>86883</t>
  </si>
  <si>
    <t>SIFÃO DO TIPO FLEXÍVEL EM PVC 1  X 1.1/2  - FORNECIMENTO E INSTALAÇÃO. AF_01/2020</t>
  </si>
  <si>
    <t>15.29</t>
  </si>
  <si>
    <t>86887</t>
  </si>
  <si>
    <t>ENGATE FLEXÍVEL EM INOX, 1/2  X 40CM - FORNECIMENTO E INSTALAÇÃO. AF_01/2020</t>
  </si>
  <si>
    <t>15.30</t>
  </si>
  <si>
    <t>100868</t>
  </si>
  <si>
    <t>BARRA DE APOIO RETA, EM ACO INOX POLIDO, COMPRIMENTO 80 CM,  FIXADA NA PAREDE - FORNECIMENTO E INSTALAÇÃO. AF_01/2020</t>
  </si>
  <si>
    <t>15.31</t>
  </si>
  <si>
    <t>100867</t>
  </si>
  <si>
    <t>BARRA DE APOIO RETA, EM ACO INOX POLIDO, COMPRIMENTO 70 CM,  FIXADA NA PAREDE - FORNECIMENTO E INSTALAÇÃO. AF_01/2020</t>
  </si>
  <si>
    <t>15.32</t>
  </si>
  <si>
    <t>FNDE 226</t>
  </si>
  <si>
    <t>BARRA DE APOIO RETA, EM ACO INOX POLIDO, COMPRIMENTO 40CM, FIXADA NA PAREDE - FORNECIMENTO E INSTALAÇÃO</t>
  </si>
  <si>
    <t>15.33</t>
  </si>
  <si>
    <t>100865</t>
  </si>
  <si>
    <t>BARRA DE APOIO LATERAL ARTICULADA, COM TRAVA, EM ACO INOX POLIDO, FIXADA NA PAREDE - FORNECIMENTO E INSTALAÇÃO. AF_01/2020</t>
  </si>
  <si>
    <t>15.34</t>
  </si>
  <si>
    <t>100875</t>
  </si>
  <si>
    <t>BANCO ARTICULADO, EM ACO INOX, PARA PCD, FIXADO NA PAREDE - FORNECIMENTO E INSTALAÇÃO. AF_01/2020</t>
  </si>
  <si>
    <t>16</t>
  </si>
  <si>
    <t>INSTALAÇÃO DE GÁS COMBUSTÍVEL</t>
  </si>
  <si>
    <t>16.1</t>
  </si>
  <si>
    <t>92688</t>
  </si>
  <si>
    <t>TUBO DE AÇO GALVANIZADO COM COSTURA, CLASSE MÉDIA, CONEXÃO ROSQUEADA, DN 20 (3/4"), INSTALADO EM RAMAIS E SUB-RAMAIS DE GÁS - FORNECIMENTO E INSTALAÇÃO. AF_10/2020</t>
  </si>
  <si>
    <t>16.2</t>
  </si>
  <si>
    <t>97549</t>
  </si>
  <si>
    <t>CURVA 90 GRAUS, EM AÇO, CONEXÃO SOLDADA, DN 20 (3/4"), INSTALADO EM RAMAIS E SUB-RAMAIS DE GÁS - FORNECIMENTO E INSTALAÇÃO. AF_10/2020</t>
  </si>
  <si>
    <t>16.3</t>
  </si>
  <si>
    <t>92705</t>
  </si>
  <si>
    <t>TÊ, EM FERRO GALVANIZADO, CONEXÃO ROSQUEADA, DN 20 (3/4"), INSTALADO EM RAMAIS E SUB-RAMAIS DE GÁS - FORNECIMENTO E INSTALAÇÃO. AF_10/2020</t>
  </si>
  <si>
    <t>16.4</t>
  </si>
  <si>
    <t>93074</t>
  </si>
  <si>
    <t>CURVA EM COBRE, DN 15 MM, 45 GRAUS, SEM ANEL DE SOLDA, BOLSA X BOLSA, INSTALADO EM RAMAL DE DISTRIBUIÇÃO DE HIDRÁULICA PREDIAL - FORNECIMENTO E INSTALAÇÃO. AF_04/2022</t>
  </si>
  <si>
    <t>16.5</t>
  </si>
  <si>
    <t>FNDE 29</t>
  </si>
  <si>
    <t>REGULADOR DE ALTA PRESSÃO GLP</t>
  </si>
  <si>
    <t>16.6</t>
  </si>
  <si>
    <t>103029</t>
  </si>
  <si>
    <t>REGISTRO OU REGULADOR DE GÁS DE COZINHA - FORNECIMENTO E INSTALAÇÃO. AF_08/2021</t>
  </si>
  <si>
    <t>16.7</t>
  </si>
  <si>
    <t>95249</t>
  </si>
  <si>
    <t>VÁLVULA DE ESFERA BRUTA, BRONZE, ROSCÁVEL, 3/4'' - FORNECIMENTO E INSTALAÇÃO. AF_08/2021</t>
  </si>
  <si>
    <t>16.8</t>
  </si>
  <si>
    <t>FNDE 301</t>
  </si>
  <si>
    <t>CAP OU TAMPAO DE FERRO GALVANIZADO, COM ROSCA BSP, DE 3/4"</t>
  </si>
  <si>
    <t>16.9</t>
  </si>
  <si>
    <t>FNDE 302</t>
  </si>
  <si>
    <t>REQUADRO EM ALUMÍNIO TIPO VENEZIANA COM GUARNIÇÃO, FIXAÇÃO COM PARAFUSOS - FORNECIMENTO E INSTALAÇÃO.</t>
  </si>
  <si>
    <t>17</t>
  </si>
  <si>
    <t>SISTEMA DE PROTEÇÃO CONTRA INCÊNDIO</t>
  </si>
  <si>
    <t>17.1</t>
  </si>
  <si>
    <t>EXTINTORES</t>
  </si>
  <si>
    <t>17.1.1</t>
  </si>
  <si>
    <t>101909</t>
  </si>
  <si>
    <t>EXTINTOR DE INCÊNDIO PORTÁTIL COM CARGA DE PQS DE 6 KG, CLASSE BC - FORNECIMENTO E INSTALAÇÃO. AF_10/2020_PE</t>
  </si>
  <si>
    <t>17.1.2</t>
  </si>
  <si>
    <t>101907</t>
  </si>
  <si>
    <t>EXTINTOR DE INCÊNDIO PORTÁTIL COM CARGA DE CO2 DE 6 KG, CLASSE BC - FORNECIMENTO E INSTALAÇÃO. AF_10/2020_PE</t>
  </si>
  <si>
    <t>17.2</t>
  </si>
  <si>
    <t>17.2.1</t>
  </si>
  <si>
    <t>94473</t>
  </si>
  <si>
    <t>COTOVELO 90 GRAUS, EM FERRO GALVANIZADO, CONEXÃO ROSQUEADA, DN 65 (2 1/2"), INSTALADO EM RESERVAÇÃO DE ÁGUA DE EDIFICAÇÃO QUE POSSUA RESERVATÓRIO DE FIBRA/FIBROCIMENTO - FORNECIMENTO E INSTALAÇÃO. AF_06/2016</t>
  </si>
  <si>
    <t>17.2.2</t>
  </si>
  <si>
    <t>97488</t>
  </si>
  <si>
    <t>CURVA 90 GRAUS, EM AÇO, CONEXÃO SOLDADA, DN 65 (2 1/2"), INSTALADO EM REDE DE ALIMENTAÇÃO PARA HIDRANTE - FORNECIMENTO E INSTALAÇÃO. AF_10/2020</t>
  </si>
  <si>
    <t>17.2.3</t>
  </si>
  <si>
    <t>92377</t>
  </si>
  <si>
    <t>NIPLE, EM FERRO GALVANIZADO, DN 65 (2 1/2"), CONEXÃO ROSQUEADA, INSTALADO EM REDE DE ALIMENTAÇÃO PARA HIDRANTE - FORNECIMENTO E INSTALAÇÃO. AF_10/2020</t>
  </si>
  <si>
    <t>17.2.4</t>
  </si>
  <si>
    <t>92367</t>
  </si>
  <si>
    <t>TUBO DE AÇO GALVANIZADO COM COSTURA, CLASSE MÉDIA, DN 65 (2 1/2"), CONEXÃO ROSQUEADA, INSTALADO EM REDE DE ALIMENTAÇÃO PARA HIDRANTE - FORNECIMENTO E INSTALAÇÃO. AF_10/2020</t>
  </si>
  <si>
    <t>17.2.5</t>
  </si>
  <si>
    <t>92642</t>
  </si>
  <si>
    <t>TÊ, EM FERRO GALVANIZADO, CONEXÃO ROSQUEADA, DN 65 (2 1/2"), INSTALADO EM REDE DE ALIMENTAÇÃO PARA HIDRANTE - FORNECIMENTO E INSTALAÇÃO. AF_10/2020</t>
  </si>
  <si>
    <t>17.2.6</t>
  </si>
  <si>
    <t>92896</t>
  </si>
  <si>
    <t>UNIÃO, EM FERRO GALVANIZADO, DN 65 (2 1/2"), CONEXÃO ROSQUEADA, INSTALADO EM REDE DE ALIMENTAÇÃO PARA HIDRANTE - FORNECIMENTO E INSTALAÇÃO. AF_10/2020</t>
  </si>
  <si>
    <t>17.2.7</t>
  </si>
  <si>
    <t>94789</t>
  </si>
  <si>
    <t>ADAPTADOR COM FLANGES LIVRES, PVC, SOLDÁVEL LONGO, DN 75 MM X 2 1/2 , INSTALADO EM RESERVAÇÃO DE ÁGUA DE EDIFICAÇÃO QUE POSSUA RESERVATÓRIO DE FIBRA/FIBROCIMENTO   FORNECIMENTO E INSTALAÇÃO. AF_06/2016</t>
  </si>
  <si>
    <t>17.3</t>
  </si>
  <si>
    <t>17.3.1</t>
  </si>
  <si>
    <t>17.3.2</t>
  </si>
  <si>
    <t>99624</t>
  </si>
  <si>
    <t>VÁLVULA DE RETENÇÃO HORIZONTAL, DE BRONZE, ROSCÁVEL, 2 1/2" - FORNECIMENTO E INSTALAÇÃO. AF_08/2021</t>
  </si>
  <si>
    <t>17.3.3</t>
  </si>
  <si>
    <t>FNDE 242</t>
  </si>
  <si>
    <t>BOMBA CENTRÍFUGA, TRIFÁSICA, 6 CV, HM 30 A 40 M, Q 26,36 M3/H - FORNECIMENTO E INSTALAÇÃO.</t>
  </si>
  <si>
    <t>17.3.4</t>
  </si>
  <si>
    <t>FNDE 94</t>
  </si>
  <si>
    <t>ELETRODUTO EM ACO ZINCADO OU GALVANIZADO DN=3/4", APARENTE - FORNECIMENTO E INSTALAÇÃO.</t>
  </si>
  <si>
    <t>17.3.5</t>
  </si>
  <si>
    <t>91924</t>
  </si>
  <si>
    <t>CABO DE COBRE FLEXÍVEL ISOLADO, 1,5 MM², ANTI-CHAMA 450/750 V, PARA CIRCUITOS TERMINAIS - FORNECIMENTO E INSTALAÇÃO. AF_03/2023</t>
  </si>
  <si>
    <t>17.3.6</t>
  </si>
  <si>
    <t>91940</t>
  </si>
  <si>
    <t>CAIXA RETANGULAR 4" X 2" MÉDIA (1,30 M DO PISO), PVC, INSTALADA EM PAREDE - FORNECIMENTO E INSTALAÇÃO. AF_03/2023</t>
  </si>
  <si>
    <t>17.3.7</t>
  </si>
  <si>
    <t>91943</t>
  </si>
  <si>
    <t>CAIXA RETANGULAR 4" X 4" MÉDIA (1,30 M DO PISO), PVC, INSTALADA EM PAREDE - FORNECIMENTO E INSTALAÇÃO. AF_03/2023</t>
  </si>
  <si>
    <t>17.3.8</t>
  </si>
  <si>
    <t>101917</t>
  </si>
  <si>
    <t>MANÔMETRO 0 A 200 PSI (0 A 14 KGF/CM2), D = 50MM - FORNECIMENTO E INSTALAÇÃO. AF_10/2020</t>
  </si>
  <si>
    <t>17.3.9</t>
  </si>
  <si>
    <t>91926</t>
  </si>
  <si>
    <t>CABO DE COBRE FLEXÍVEL ISOLADO, 2,5 MM², ANTI-CHAMA 450/750 V, PARA CIRCUITOS TERMINAIS - FORNECIMENTO E INSTALAÇÃO. AF_03/2023</t>
  </si>
  <si>
    <t>17.3.10</t>
  </si>
  <si>
    <t>FNDE 67</t>
  </si>
  <si>
    <t>CENTRAL ALARME ENDEREÇAVEL</t>
  </si>
  <si>
    <t>17.4</t>
  </si>
  <si>
    <t>HIDRANTES</t>
  </si>
  <si>
    <t>17.4.1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</si>
  <si>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</si>
  <si>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</si>
  <si>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17.4.2</t>
  </si>
  <si>
    <t>101798</t>
  </si>
  <si>
    <t>TAMPA PARA CAIXA TIPO R1, EM FERRO FUNDIDO, DIMENSÕES INTERNAS: 0,40 X 0,60 M - FORNECIMENTO E INSTALAÇÃO. AF_12/2020</t>
  </si>
  <si>
    <t>17.4.3</t>
  </si>
  <si>
    <t>17.4.4</t>
  </si>
  <si>
    <t>101916</t>
  </si>
  <si>
    <t>HIDRANTE SUBTERRÂNEO PREDIAL (COM CURVA LONGA E CAIXA), DN 75 MM - FORNECIMENTO E INSTALAÇÃO. AF_10/2020</t>
  </si>
  <si>
    <t>17.5</t>
  </si>
  <si>
    <t>SINALIZAÇÕES</t>
  </si>
  <si>
    <t>17.5.1</t>
  </si>
  <si>
    <t>97599</t>
  </si>
  <si>
    <t>LUMINÁRIA DE EMERGÊNCIA, COM 30 LÂMPADAS LED DE 2 W, SEM REATOR - FORNECIMENTO E INSTALAÇÃO. AF_02/2020</t>
  </si>
  <si>
    <t>17.5.2</t>
  </si>
  <si>
    <t>102520</t>
  </si>
  <si>
    <t>PINTURA DE SINALIZAÇÃO VERTICAL DE SEGURANÇA, FAIXAS AMARELA E PRETA, APLICAÇÃO MANUAL, 2 DEMÃOS. AF_05/2021</t>
  </si>
  <si>
    <t>17.5.3</t>
  </si>
  <si>
    <t>FNDE 303</t>
  </si>
  <si>
    <t>SINALIZAÇÃO COM PLACA INDICATIVA FIXADA NA ESTRUTURA.</t>
  </si>
  <si>
    <t>18</t>
  </si>
  <si>
    <t>INSTALAÇÃO ELÉTRICA - 110V</t>
  </si>
  <si>
    <t>18.1</t>
  </si>
  <si>
    <t>QUADROS</t>
  </si>
  <si>
    <t>18.1.1</t>
  </si>
  <si>
    <t>101883</t>
  </si>
  <si>
    <t>QUADRO DE DISTRIBUIÇÃO DE ENERGIA EM CHAPA DE AÇO GALVANIZADO, DE EMBUTIR, COM BARRAMENTO TRIFÁSICO, PARA 18 DISJUNTORES DIN 100A - FORNECIMENTO E INSTALAÇÃO. AF_10/2020</t>
  </si>
  <si>
    <t>18.1.2</t>
  </si>
  <si>
    <t>101879</t>
  </si>
  <si>
    <t>QUADRO DE DISTRIBUIÇÃO DE ENERGIA EM CHAPA DE AÇO GALVANIZADO, DE EMBUTIR, COM BARRAMENTO TRIFÁSICO, PARA 24 DISJUNTORES DIN 100A - FORNECIMENTO E INSTALAÇÃO. AF_10/2020</t>
  </si>
  <si>
    <t>18.1.3</t>
  </si>
  <si>
    <t>FNDE 383</t>
  </si>
  <si>
    <t>QUADRO DE DISTRIBUIÇÃO DE ENERGIA EM CHAPA DE AÇO GALVANIZADO, DE EMBUTIR, COM BARRAMENTO TRIFÁSICO, PARA 46 DISJUNTORES DIN 100A - FORNECIMENTO E INSTALAÇÃO.</t>
  </si>
  <si>
    <t>18.1.4</t>
  </si>
  <si>
    <t>101878</t>
  </si>
  <si>
    <t>QUADRO DE DISTRIBUIÇÃO DE ENERGIA EM CHAPA DE AÇO GALVANIZADO, DE SOBREPOR, COM BARRAMENTO TRIFÁSICO, PARA 18 DISJUNTORES DIN 100A - FORNECIMENTO E INSTALAÇÃO. AF_10/2020</t>
  </si>
  <si>
    <t>18.1.5</t>
  </si>
  <si>
    <t>FNDE 304</t>
  </si>
  <si>
    <t>QUADRO DE DISTRIBUIÇÃO DE ENERGIA EM CHAPA DE AÇO GALVANIZADO, DE EMBUTIR, COM BARRAMENTO TRIFÁSICO, PARA 50 DISJUNTORES DIN 225A - FORNECIMENTO E INSTALAÇÃO.</t>
  </si>
  <si>
    <t>18.1.6</t>
  </si>
  <si>
    <t>101946</t>
  </si>
  <si>
    <t>QUADRO DE MEDIÇÃO GERAL DE ENERGIA PARA 1 MEDIDOR DE SOBREPOR - FORNECIMENTO E INSTALAÇÃO. AF_10/2020</t>
  </si>
  <si>
    <t>18.2</t>
  </si>
  <si>
    <t>DISJUNTORES</t>
  </si>
  <si>
    <t>18.2.1</t>
  </si>
  <si>
    <t>93653</t>
  </si>
  <si>
    <t>DISJUNTOR MONOPOLAR TIPO DIN, CORRENTE NOMINAL DE 10A - FORNECIMENTO E INSTALAÇÃO. AF_10/2020</t>
  </si>
  <si>
    <t>18.2.2</t>
  </si>
  <si>
    <t>93654</t>
  </si>
  <si>
    <t>DISJUNTOR MONOPOLAR TIPO DIN, CORRENTE NOMINAL DE 16A - FORNECIMENTO E INSTALAÇÃO. AF_10/2020</t>
  </si>
  <si>
    <t>18.2.3</t>
  </si>
  <si>
    <t>93655</t>
  </si>
  <si>
    <t>DISJUNTOR MONOPOLAR TIPO DIN, CORRENTE NOMINAL DE 20A - FORNECIMENTO E INSTALAÇÃO. AF_10/2020</t>
  </si>
  <si>
    <t>18.2.4</t>
  </si>
  <si>
    <t>93656</t>
  </si>
  <si>
    <t>DISJUNTOR MONOPOLAR TIPO DIN, CORRENTE NOMINAL DE 25A - FORNECIMENTO E INSTALAÇÃO. AF_10/2020</t>
  </si>
  <si>
    <t>18.2.5</t>
  </si>
  <si>
    <t>93660</t>
  </si>
  <si>
    <t>DISJUNTOR BIPOLAR TIPO DIN, CORRENTE NOMINAL DE 10A - FORNECIMENTO E INSTALAÇÃO. AF_10/2020</t>
  </si>
  <si>
    <t>18.2.6</t>
  </si>
  <si>
    <t>93667</t>
  </si>
  <si>
    <t>DISJUNTOR TRIPOLAR TIPO DIN, CORRENTE NOMINAL DE 10A - FORNECIMENTO E INSTALAÇÃO. AF_10/2020</t>
  </si>
  <si>
    <t>18.2.7</t>
  </si>
  <si>
    <t>93668</t>
  </si>
  <si>
    <t>DISJUNTOR TRIPOLAR TIPO DIN, CORRENTE NOMINAL DE 16A - FORNECIMENTO E INSTALAÇÃO. AF_10/2020</t>
  </si>
  <si>
    <t>18.2.8</t>
  </si>
  <si>
    <t>93671</t>
  </si>
  <si>
    <t>DISJUNTOR TRIPOLAR TIPO DIN, CORRENTE NOMINAL DE 32A - FORNECIMENTO E INSTALAÇÃO. AF_10/2020</t>
  </si>
  <si>
    <t>18.2.9</t>
  </si>
  <si>
    <t>101894</t>
  </si>
  <si>
    <t>DISJUNTOR TRIPOLAR TIPO NEMA, CORRENTE NOMINAL DE 60 ATÉ 100A - FORNECIMENTO E INSTALAÇÃO. AF_10/2020</t>
  </si>
  <si>
    <t>18.2.10</t>
  </si>
  <si>
    <t>101896</t>
  </si>
  <si>
    <t>DISJUNTOR TERMOMAGNÉTICO TRIPOLAR , CORRENTE NOMINAL DE 200A - FORNECIMENTO E INSTALAÇÃO. AF_10/2020</t>
  </si>
  <si>
    <t>18.2.11</t>
  </si>
  <si>
    <t>101898</t>
  </si>
  <si>
    <t>DISJUNTOR TERMOMAGNÉTICO TRIPOLAR , CORRENTE NOMINAL DE 400A - FORNECIMENTO E INSTALAÇÃO. AF_10/2020</t>
  </si>
  <si>
    <t>18.2.12</t>
  </si>
  <si>
    <t>FNDE 86</t>
  </si>
  <si>
    <t>DISJUNTOR BIPOLAR TIPO DR, CORRENTE NOMINAL DE 25A - 30mA</t>
  </si>
  <si>
    <t>18.2.13</t>
  </si>
  <si>
    <t>18.2.14</t>
  </si>
  <si>
    <t>FNDE 88</t>
  </si>
  <si>
    <t>DISPOSITIVO CONTRA SURTO - DPS 40 kA</t>
  </si>
  <si>
    <t>18.2.15</t>
  </si>
  <si>
    <t>FNDE 89</t>
  </si>
  <si>
    <t>DISPOSITIVO CONTRA SURTO - DPS 80 kA</t>
  </si>
  <si>
    <t>18.2.16</t>
  </si>
  <si>
    <t>93661</t>
  </si>
  <si>
    <t>DISJUNTOR BIPOLAR TIPO DIN, CORRENTE NOMINAL DE 16A - FORNECIMENTO E INSTALAÇÃO. AF_10/2020</t>
  </si>
  <si>
    <t>18.2.17</t>
  </si>
  <si>
    <t>93662</t>
  </si>
  <si>
    <t>DISJUNTOR BIPOLAR TIPO DIN, CORRENTE NOMINAL DE 20A - FORNECIMENTO E INSTALAÇÃO. AF_10/2020</t>
  </si>
  <si>
    <t>18.2.18</t>
  </si>
  <si>
    <t>93665</t>
  </si>
  <si>
    <t>DISJUNTOR BIPOLAR TIPO DIN, CORRENTE NOMINAL DE 40A - FORNECIMENTO E INSTALAÇÃO. AF_10/2020</t>
  </si>
  <si>
    <t>18.2.19</t>
  </si>
  <si>
    <t>93663</t>
  </si>
  <si>
    <t>DISJUNTOR BIPOLAR TIPO DIN, CORRENTE NOMINAL DE 25A - FORNECIMENTO E INSTALAÇÃO. AF_10/2020</t>
  </si>
  <si>
    <t>18.2.20</t>
  </si>
  <si>
    <t>FNDE 393</t>
  </si>
  <si>
    <t>DISJUNTOR TETRAPOLAR TIPO DR, CORRENTE NOMINAL DE 125A - 30mA</t>
  </si>
  <si>
    <t>18.2.21</t>
  </si>
  <si>
    <t>FNDE 87</t>
  </si>
  <si>
    <t>DISJUNTOR BIPOLAR TIPO DR, CORRENTE NOMINAL DE 40A - 30mA</t>
  </si>
  <si>
    <t>18.2.22</t>
  </si>
  <si>
    <t>93672</t>
  </si>
  <si>
    <t>DISJUNTOR TRIPOLAR TIPO DIN, CORRENTE NOMINAL DE 40A - FORNECIMENTO E INSTALAÇÃO. AF_10/2020</t>
  </si>
  <si>
    <t>18.2.23</t>
  </si>
  <si>
    <t>101895</t>
  </si>
  <si>
    <t>DISJUNTOR TERMOMAGNÉTICO TRIPOLAR , CORRENTE NOMINAL DE 125A - FORNECIMENTO E INSTALAÇÃO. AF_10/2020</t>
  </si>
  <si>
    <t>18.2.24</t>
  </si>
  <si>
    <t>101899</t>
  </si>
  <si>
    <t>DISJUNTOR TERMOMAGNÉTICO TRIPOLAR , CORRENTE NOMINAL DE 600A - FORNECIMENTO E INSTALAÇÃO. AF_10/2020</t>
  </si>
  <si>
    <t>18.3</t>
  </si>
  <si>
    <t>ELETRODUTO E ACESSÓRIOS</t>
  </si>
  <si>
    <t>18.3.1</t>
  </si>
  <si>
    <t>91834</t>
  </si>
  <si>
    <t>ELETRODUTO FLEXÍVEL CORRUGADO, PVC, DN 25 MM (3/4"), PARA CIRCUITOS TERMINAIS, INSTALADO EM FORRO - FORNECIMENTO E INSTALAÇÃO. AF_03/2023</t>
  </si>
  <si>
    <t>18.3.2</t>
  </si>
  <si>
    <t>91836</t>
  </si>
  <si>
    <t>ELETRODUTO FLEXÍVEL CORRUGADO, PVC, DN 32 MM (1"), PARA CIRCUITOS TERMINAIS, INSTALADO EM FORRO - FORNECIMENTO E INSTALAÇÃO. AF_03/2023</t>
  </si>
  <si>
    <t>18.3.3</t>
  </si>
  <si>
    <t>91860</t>
  </si>
  <si>
    <t>ELETRODUTO FLEXÍVEL CORRUGADO, PEAD, DN 40 MM (1 1/4"), PARA CIRCUITOS TERMINAIS, INSTALADO EM PAREDE - FORNECIMENTO E INSTALAÇÃO. AF_03/2023</t>
  </si>
  <si>
    <t>18.3.4</t>
  </si>
  <si>
    <t>91866</t>
  </si>
  <si>
    <t>ELETRODUTO RÍGIDO ROSCÁVEL, PVC, DN 20 MM (1/2"), PARA CIRCUITOS TERMINAIS, INSTALADO EM LAJE - FORNECIMENTO E INSTALAÇÃO. AF_03/2023</t>
  </si>
  <si>
    <t>18.3.5</t>
  </si>
  <si>
    <t>FNDE 90</t>
  </si>
  <si>
    <t>ELETRODUTO RIGIDO, EM ACO ZINCADO OU GALVANIZADO, TIPO PESADO, DN=1", APARENTE - FORNECIMENTO E INSTALAÇÃO.</t>
  </si>
  <si>
    <t>18.3.6</t>
  </si>
  <si>
    <t>FNDE 91</t>
  </si>
  <si>
    <t>ELETRODUTO EM ACO ZINCADO OU GALVANIZADO DN=1 1/2", APARENTE - FORNECIMENTO E INSTALAÇÃO.</t>
  </si>
  <si>
    <t>18.3.7</t>
  </si>
  <si>
    <t>FNDE 92</t>
  </si>
  <si>
    <t>ELETRODUTO EM ACO ZINCADO OU GALVANIZADO DN=1 1/4", APARENTE - FORNECIMENTO E INSTALAÇÃO.</t>
  </si>
  <si>
    <t>18.3.8</t>
  </si>
  <si>
    <t>FNDE 93</t>
  </si>
  <si>
    <t>ELETRODUTO EM ACO ZINCADO OU GALVANIZADO DN=2", APARENTE - FORNECIMENTO E INSTALAÇÃO.</t>
  </si>
  <si>
    <t>18.3.9</t>
  </si>
  <si>
    <t>18.3.10</t>
  </si>
  <si>
    <t>FNDE 95</t>
  </si>
  <si>
    <t>ELETRODUTO EM ACO ZINCADO OU GALVANIZADO DN=4", APARENTE - FORNECIMENTO E INSTALAÇÃO.</t>
  </si>
  <si>
    <t>18.3.11</t>
  </si>
  <si>
    <t>97886</t>
  </si>
  <si>
    <t>CAIXA ENTERRADA ELÉTRICA RETANGULAR, EM ALVENARIA COM TIJOLOS CERÂMICOS MACIÇOS, FUNDO COM BRITA, DIMENSÕES INTERNAS: 0,3X0,3X0,3 M. AF_12/2020</t>
  </si>
  <si>
    <t>18.3.12</t>
  </si>
  <si>
    <t>97887</t>
  </si>
  <si>
    <t>CAIXA ENTERRADA ELÉTRICA RETANGULAR, EM ALVENARIA COM TIJOLOS CERÂMICOS MACIÇOS, FUNDO COM BRITA, DIMENSÕES INTERNAS: 0,4X0,4X0,4 M. AF_12/2020</t>
  </si>
  <si>
    <t>18.3.13</t>
  </si>
  <si>
    <t>18.3.14</t>
  </si>
  <si>
    <t>18.3.15</t>
  </si>
  <si>
    <t>18.3.16</t>
  </si>
  <si>
    <t>91937</t>
  </si>
  <si>
    <t>CAIXA OCTOGONAL 3" X 3", PVC, INSTALADA EM LAJE - FORNECIMENTO E INSTALAÇÃO. AF_03/2023</t>
  </si>
  <si>
    <t>18.3.17</t>
  </si>
  <si>
    <t>92658</t>
  </si>
  <si>
    <t>LUVA, EM FERRO GALVANIZADO, CONEXÃO ROSQUEADA, DN 25 (1"), INSTALADO EM REDE DE ALIMENTAÇÃO PARA SPRINKLER - FORNECIMENTO E INSTALAÇÃO. AF_10/2020</t>
  </si>
  <si>
    <t>18.3.18</t>
  </si>
  <si>
    <t>18.3.19</t>
  </si>
  <si>
    <t>92662</t>
  </si>
  <si>
    <t>LUVA, EM FERRO GALVANIZADO, CONEXÃO ROSQUEADA, DN 40 (1 1/2"), INSTALADO EM REDE DE ALIMENTAÇÃO PARA SPRINKLER - FORNECIMENTO E INSTALAÇÃO. AF_10/2020</t>
  </si>
  <si>
    <t>18.3.20</t>
  </si>
  <si>
    <t>92660</t>
  </si>
  <si>
    <t>LUVA, EM FERRO GALVANIZADO, CONEXÃO ROSQUEADA, DN 32 (1 1/4"), INSTALADO EM REDE DE ALIMENTAÇÃO PARA SPRINKLER - FORNECIMENTO E INSTALAÇÃO. AF_10/2020</t>
  </si>
  <si>
    <t>18.3.21</t>
  </si>
  <si>
    <t>18.3.22</t>
  </si>
  <si>
    <t>92664</t>
  </si>
  <si>
    <t>LUVA, EM FERRO GALVANIZADO, CONEXÃO ROSQUEADA, DN 50 (2"), INSTALADO EM REDE DE ALIMENTAÇÃO PARA SPRINKLER - FORNECIMENTO E INSTALAÇÃO. AF_10/2020</t>
  </si>
  <si>
    <t>92668</t>
  </si>
  <si>
    <t>LUVA, EM FERRO GALVANIZADO, CONEXÃO ROSQUEADA, DN 80 (3"), INSTALADO EM REDE DE ALIMENTAÇÃO PARA SPRINKLER - FORNECIMENTO E INSTALAÇÃO. AF_10/2020</t>
  </si>
  <si>
    <t>95795</t>
  </si>
  <si>
    <t>CONDULETE DE ALUMÍNIO, TIPO T, PARA ELETRODUTO DE AÇO GALVANIZADO DN 20 MM (3/4''), APARENTE - FORNECIMENTO E INSTALAÇÃO. AF_10/2022</t>
  </si>
  <si>
    <t>95787</t>
  </si>
  <si>
    <t>CONDULETE DE ALUMÍNIO, TIPO LR, PARA ELETRODUTO DE AÇO GALVANIZADO DN 20 MM (3/4''), APARENTE - FORNECIMENTO E INSTALAÇÃO. AF_10/2022</t>
  </si>
  <si>
    <t>18.4</t>
  </si>
  <si>
    <t>CABOS E FIOS CONDUTORES</t>
  </si>
  <si>
    <t>18.4.1</t>
  </si>
  <si>
    <t>18.4.2</t>
  </si>
  <si>
    <t>91928</t>
  </si>
  <si>
    <t>CABO DE COBRE FLEXÍVEL ISOLADO, 4 MM², ANTI-CHAMA 450/750 V, PARA CIRCUITOS TERMINAIS - FORNECIMENTO E INSTALAÇÃO. AF_03/2023</t>
  </si>
  <si>
    <t>18.4.3</t>
  </si>
  <si>
    <t>91930</t>
  </si>
  <si>
    <t>CABO DE COBRE FLEXÍVEL ISOLADO, 6 MM², ANTI-CHAMA 450/750 V, PARA CIRCUITOS TERMINAIS - FORNECIMENTO E INSTALAÇÃO. AF_03/2023</t>
  </si>
  <si>
    <t>18.4.4</t>
  </si>
  <si>
    <t>91932</t>
  </si>
  <si>
    <t>CABO DE COBRE FLEXÍVEL ISOLADO, 10 MM², ANTI-CHAMA 450/750 V, PARA CIRCUITOS TERMINAIS - FORNECIMENTO E INSTALAÇÃO. AF_03/2023</t>
  </si>
  <si>
    <t>18.4.5</t>
  </si>
  <si>
    <t>91929</t>
  </si>
  <si>
    <t>CABO DE COBRE FLEXÍVEL ISOLADO, 4 MM², ANTI-CHAMA 0,6/1,0 KV, PARA CIRCUITOS TERMINAIS - FORNECIMENTO E INSTALAÇÃO. AF_03/2023</t>
  </si>
  <si>
    <t>18.4.6</t>
  </si>
  <si>
    <t>92980</t>
  </si>
  <si>
    <t>CABO DE COBRE FLEXÍVEL ISOLADO, 10 MM², ANTI-CHAMA 0,6/1,0 KV, PARA DISTRIBUIÇÃO - FORNECIMENTO E INSTALAÇÃO. AF_10/2020</t>
  </si>
  <si>
    <t>18.4.7</t>
  </si>
  <si>
    <t>92982</t>
  </si>
  <si>
    <t>CABO DE COBRE FLEXÍVEL ISOLADO, 16 MM², ANTI-CHAMA 0,6/1,0 KV, PARA DISTRIBUIÇÃO - FORNECIMENTO E INSTALAÇÃO. AF_10/2020</t>
  </si>
  <si>
    <t>18.4.8</t>
  </si>
  <si>
    <t>92984</t>
  </si>
  <si>
    <t>CABO DE COBRE FLEXÍVEL ISOLADO, 25 MM², ANTI-CHAMA 0,6/1,0 KV, PARA REDE ENTERRADA DE DISTRIBUIÇÃO DE ENERGIA ELÉTRICA - FORNECIMENTO E INSTALAÇÃO. AF_12/2021</t>
  </si>
  <si>
    <t>18.4.9</t>
  </si>
  <si>
    <t>92986</t>
  </si>
  <si>
    <t>CABO DE COBRE FLEXÍVEL ISOLADO, 35 MM², ANTI-CHAMA 0,6/1,0 KV, PARA REDE ENTERRADA DE DISTRIBUIÇÃO DE ENERGIA ELÉTRICA - FORNECIMENTO E INSTALAÇÃO. AF_12/2021</t>
  </si>
  <si>
    <t>18.4.10</t>
  </si>
  <si>
    <t>92988</t>
  </si>
  <si>
    <t>CABO DE COBRE FLEXÍVEL ISOLADO, 50 MM², ANTI-CHAMA 0,6/1,0 KV, PARA REDE ENTERRADA DE DISTRIBUIÇÃO DE ENERGIA ELÉTRICA - FORNECIMENTO E INSTALAÇÃO. AF_12/2021</t>
  </si>
  <si>
    <t>18.4.11</t>
  </si>
  <si>
    <t>92992</t>
  </si>
  <si>
    <t>CABO DE COBRE FLEXÍVEL ISOLADO, 95 MM², ANTI-CHAMA 0,6/1,0 KV, PARA REDE ENTERRADA DE DISTRIBUIÇÃO DE ENERGIA ELÉTRICA - FORNECIMENTO E INSTALAÇÃO. AF_12/2021</t>
  </si>
  <si>
    <t>18.4.12</t>
  </si>
  <si>
    <t>92994</t>
  </si>
  <si>
    <t>CABO DE COBRE FLEXÍVEL ISOLADO, 120 MM², ANTI-CHAMA 0,6/1,0 KV, PARA REDE ENTERRADA DE DISTRIBUIÇÃO DE ENERGIA ELÉTRICA - FORNECIMENTO E INSTALAÇÃO. AF_12/2021</t>
  </si>
  <si>
    <t>18.4.13</t>
  </si>
  <si>
    <t>92998</t>
  </si>
  <si>
    <t>CABO DE COBRE FLEXÍVEL ISOLADO, 185 MM², ANTI-CHAMA 0,6/1,0 KV, PARA REDE ENTERRADA DE DISTRIBUIÇÃO DE ENERGIA ELÉTRICA - FORNECIMENTO E INSTALAÇÃO. AF_12/2021</t>
  </si>
  <si>
    <t>18.4.14</t>
  </si>
  <si>
    <t>93000</t>
  </si>
  <si>
    <t>CABO DE COBRE FLEXÍVEL ISOLADO, 240 MM², ANTI-CHAMA 0,6/1,0 KV, PARA REDE ENTERRADA DE DISTRIBUIÇÃO DE ENERGIA ELÉTRICA - FORNECIMENTO E INSTALAÇÃO. AF_12/2021</t>
  </si>
  <si>
    <t>18.4.15</t>
  </si>
  <si>
    <t>93002</t>
  </si>
  <si>
    <t>CABO DE COBRE FLEXÍVEL ISOLADO, 300 MM², ANTI-CHAMA 0,6/1,0 KV, PARA REDE ENTERRADA DE DISTRIBUIÇÃO DE ENERGIA ELÉTRICA - FORNECIMENTO E INSTALAÇÃO. AF_12/2021</t>
  </si>
  <si>
    <t>18.5</t>
  </si>
  <si>
    <t>ELETROCALHAS</t>
  </si>
  <si>
    <t>18.5.1</t>
  </si>
  <si>
    <t>FNDE 312</t>
  </si>
  <si>
    <t>ELETROCALHA LISA OU PERFURADA EM AÇO GALVANIZADO, LARGURA  100MM E ALTURA 50MM, INCLUSIVE EMENDA E FIXAÇÃO - FORNECIMENTO E INSTALAÇÃO.</t>
  </si>
  <si>
    <t>18.5.2</t>
  </si>
  <si>
    <t>FNDE 313</t>
  </si>
  <si>
    <t>ELETROCALHA LISA OU PERFURADA EM AÇO GALVANIZADO, LARGURA  150MM E ALTURA 100MM, INCLUSIVE EMENDA E FIXAÇÃO - FORNECIMENTO E INSTALAÇÃO.</t>
  </si>
  <si>
    <t>18.5.3</t>
  </si>
  <si>
    <t>FNDE 25</t>
  </si>
  <si>
    <t>ELETROCALHA LISA OU PERFURADA EM AÇO GALVANIZADO, LARGURA  50MM E ALTURA 50MM, INCLUSIVE EMENDA E FIXAÇÃO - FORNECIMENTO E INSTALAÇÃO.</t>
  </si>
  <si>
    <t>18.5.4</t>
  </si>
  <si>
    <t>FNDE 314</t>
  </si>
  <si>
    <t>ELETROCALHA LISA OU PERFURADA EM AÇO GALVANIZADO, LARGURA  150MM E ALTURA 50MM, INCLUSIVE EMENDA E FIXAÇÃO - FORNECIMENTO E INSTALAÇÃO.</t>
  </si>
  <si>
    <t>18.5.5</t>
  </si>
  <si>
    <t>104764</t>
  </si>
  <si>
    <t>SUPORTE PARA 2 ELETRODUTOS, ESPAÇADO A CADA 80 CM, EM PERFILADO COM COMPRIMENTO DE 25 CM FIXADO EM LAJE, POR METRO DE ELETRODUTO FIXADO. AF_09/2023</t>
  </si>
  <si>
    <t>18.6</t>
  </si>
  <si>
    <t>ILUMINAÇÃO E TOMADAS</t>
  </si>
  <si>
    <t>18.6.1</t>
  </si>
  <si>
    <t>92000</t>
  </si>
  <si>
    <t>TOMADA BAIXA DE EMBUTIR (1 MÓDULO), 2P+T 10 A, INCLUINDO SUPORTE E PLACA - FORNECIMENTO E INSTALAÇÃO. AF_03/2023</t>
  </si>
  <si>
    <t>18.6.2</t>
  </si>
  <si>
    <t>92001</t>
  </si>
  <si>
    <t>TOMADA BAIXA DE EMBUTIR (1 MÓDULO), 2P+T 20 A, INCLUINDO SUPORTE E PLACA - FORNECIMENTO E INSTALAÇÃO. AF_03/2023</t>
  </si>
  <si>
    <t>18.6.3</t>
  </si>
  <si>
    <t>91955</t>
  </si>
  <si>
    <t>INTERRUPTOR PARALELO (1 MÓDULO), 10A/250V, INCLUINDO SUPORTE E PLACA - FORNECIMENTO E INSTALAÇÃO. AF_03/2023</t>
  </si>
  <si>
    <t>18.6.4</t>
  </si>
  <si>
    <t>92029</t>
  </si>
  <si>
    <t>INTERRUPTOR PARALELO (1 MÓDULO) COM 1 TOMADA DE EMBUTIR 2P+T 10 A, INCLUINDO SUPORTE E PLACA - FORNECIMENTO E INSTALAÇÃO. AF_03/2023</t>
  </si>
  <si>
    <t>18.6.5</t>
  </si>
  <si>
    <t>91953</t>
  </si>
  <si>
    <t>INTERRUPTOR SIMPLES (1 MÓDULO), 10A/250V, INCLUINDO SUPORTE E PLACA - FORNECIMENTO E INSTALAÇÃO. AF_03/2023</t>
  </si>
  <si>
    <t>18.6.6</t>
  </si>
  <si>
    <t>91959</t>
  </si>
  <si>
    <t>INTERRUPTOR SIMPLES (2 MÓDULOS), 10A/250V, INCLUINDO SUPORTE E PLACA - FORNECIMENTO E INSTALAÇÃO. AF_03/2023</t>
  </si>
  <si>
    <t>18.6.7</t>
  </si>
  <si>
    <t>91967</t>
  </si>
  <si>
    <t>INTERRUPTOR SIMPLES (3 MÓDULOS), 10A/250V, INCLUINDO SUPORTE E PLACA - FORNECIMENTO E INSTALAÇÃO. AF_03/2023</t>
  </si>
  <si>
    <t>18.6.8</t>
  </si>
  <si>
    <t>91969</t>
  </si>
  <si>
    <t>INTERRUPTOR PARALELO (3 MÓDULOS), 10A/250V, INCLUINDO SUPORTE E PLACA - FORNECIMENTO E INSTALAÇÃO. AF_03/2023</t>
  </si>
  <si>
    <t>18.6.9</t>
  </si>
  <si>
    <t>FNDE 309</t>
  </si>
  <si>
    <t>ESPELHO / PLACA CEGA 4" X 2", PARA INSTALACAO DE TOMADAS E INTERRUPTORES</t>
  </si>
  <si>
    <t>18.6.10</t>
  </si>
  <si>
    <t>FNDE 96</t>
  </si>
  <si>
    <t>LUMINÁRIA DE EMBUTIR, COM LÂMPADA LED DE 18 W</t>
  </si>
  <si>
    <t>18.6.11</t>
  </si>
  <si>
    <t>FNDE 97</t>
  </si>
  <si>
    <t>LUMINÁRIA DE EMBUTIR, COM LÂMPADA LED DE 31 W</t>
  </si>
  <si>
    <t>18.6.12</t>
  </si>
  <si>
    <t>FNDE 308</t>
  </si>
  <si>
    <t>LUMINÁRIA DE EMBUTIR, COM LÂMPADA LED DE 39 W</t>
  </si>
  <si>
    <t>18.6.13</t>
  </si>
  <si>
    <t>100903</t>
  </si>
  <si>
    <t>LÂMPADA TUBULAR LED DE 18/20 W, BASE G13 - FORNECIMENTO E INSTALAÇÃO. AF_02/2020_PS</t>
  </si>
  <si>
    <t>18.6.14</t>
  </si>
  <si>
    <t>FNDE 98</t>
  </si>
  <si>
    <t>REFLETOR EM ALUMÍNIO, DE SUPORTE E ALÇA, COM LÂMPADA LED DE 200 W</t>
  </si>
  <si>
    <t>18.6.15</t>
  </si>
  <si>
    <t>97607</t>
  </si>
  <si>
    <t>LUMINÁRIA ARANDELA TIPO TARTARUGA, DE SOBREPOR, COM 1 LÂMPADA LED DE 6 W, SEM REATOR - FORNECIMENTO E INSTALAÇÃO. AF_02/2020</t>
  </si>
  <si>
    <t>18.6.16</t>
  </si>
  <si>
    <t>FNDE 99</t>
  </si>
  <si>
    <t>LUMINÁRIA TIPO SPOT BALIZADOR LED 12W</t>
  </si>
  <si>
    <t>18.6.17</t>
  </si>
  <si>
    <t>91960</t>
  </si>
  <si>
    <t>INTERRUPTOR PARALELO (2 MÓDULOS), 10A/250V, SEM SUPORTE E SEM PLACA - FORNECIMENTO E INSTALAÇÃO. AF_03/2023</t>
  </si>
  <si>
    <t>19</t>
  </si>
  <si>
    <t>INSTALAÇÕES DE CLIMATIZAÇÃO</t>
  </si>
  <si>
    <t>19.1</t>
  </si>
  <si>
    <t>DUTOS</t>
  </si>
  <si>
    <t>19.1.1</t>
  </si>
  <si>
    <t>97328</t>
  </si>
  <si>
    <t>TUBO EM COBRE FLEXÍVEL, DN 3/8", COM ISOLAMENTO, INSTALADO EM RAMAL DE ALIMENTAÇÃO DE AR CONDICIONADO COM CONDENSADORA INDIVIDUAL - FORNECIMENTO E INSTALAÇÃO. AF_12/2015</t>
  </si>
  <si>
    <t>19.1.2</t>
  </si>
  <si>
    <t>97327</t>
  </si>
  <si>
    <t>TUBO EM COBRE FLEXÍVEL, DN 1/4", COM ISOLAMENTO, INSTALADO EM RAMAL DE ALIMENTAÇÃO DE AR CONDICIONADO COM CONDENSADORA INDIVIDUAL   FORNECIMENTO E INSTALAÇÃO. AF_12/2015</t>
  </si>
  <si>
    <t>19.1.3</t>
  </si>
  <si>
    <t>97330</t>
  </si>
  <si>
    <t>TUBO EM COBRE FLEXÍVEL, DN 5/8", COM ISOLAMENTO, INSTALADO EM RAMAL DE ALIMENTAÇÃO DE AR CONDICIONADO COM CONDENSADORA INDIVIDUAL - FORNECIMENTO E INSTALAÇÃO. AF_12/2015</t>
  </si>
  <si>
    <t>19.1.4</t>
  </si>
  <si>
    <t>97333</t>
  </si>
  <si>
    <t>TUBO EM COBRE FLEXÍVEL, DN 1/2", COM ISOLAMENTO, INSTALADO EM RAMAL DE ALIMENTAÇÃO DE AR CONDICIONADO COM CONDENSADORA CENTRAL - FORNECIMENTO E INSTALAÇÃO. AF_12/2015</t>
  </si>
  <si>
    <t>19.1.5</t>
  </si>
  <si>
    <t>100763</t>
  </si>
  <si>
    <t>VIGA METÁLICA EM PERFIL LAMINADO OU SOLDADO EM AÇO ESTRUTURAL, COM CONEXÕES PARAFUSADAS, INCLUSOS MÃO DE OBRA, TRANSPORTE E IÇAMENTO UTILIZANDO GUINDASTE - FORNECIMENTO E INSTALAÇÃO. AF_01/2020_PSA</t>
  </si>
  <si>
    <t>19.1.6</t>
  </si>
  <si>
    <t>FNDE 310</t>
  </si>
  <si>
    <t>TUBO EM COBRE FLEXÍVEL, DN 3/4", COM ISOLAMENTO, INSTALADO EM RAMAL DE ALIMENTAÇÃO DE AR CONDICIONADO COM CONDENSADORA INDIVIDUAL ? FORNECIMENTO E INSTALAÇÃO.</t>
  </si>
  <si>
    <t>19.2</t>
  </si>
  <si>
    <t>DRENO</t>
  </si>
  <si>
    <t>19.2.1</t>
  </si>
  <si>
    <t>89865</t>
  </si>
  <si>
    <t>TUBO, PVC, SOLDÁVEL, DN 25MM, INSTALADO EM DRENO DE AR-CONDICIONADO - FORNECIMENTO E INSTALAÇÃO. AF_08/2022</t>
  </si>
  <si>
    <t>19.2.2</t>
  </si>
  <si>
    <t>89866</t>
  </si>
  <si>
    <t>JOELHO 90 GRAUS, PVC, SOLDÁVEL, DN 25MM, INSTALADO EM DRENO DE AR-CONDICIONADO - FORNECIMENTO E INSTALAÇÃO. AF_08/2022</t>
  </si>
  <si>
    <t>19.2.3</t>
  </si>
  <si>
    <t>89448</t>
  </si>
  <si>
    <t>TUBO, PVC, SOLDÁVEL, DN 40MM, INSTALADO EM PRUMADA DE ÁGUA - FORNECIMENTO E INSTALAÇÃO. AF_06/2022</t>
  </si>
  <si>
    <t>19.2.4</t>
  </si>
  <si>
    <t>89498</t>
  </si>
  <si>
    <t>JOELHO 45 GRAUS, PVC, SOLDÁVEL, DN 40MM, INSTALADO EM PRUMADA DE ÁGUA - FORNECIMENTO E INSTALAÇÃO. AF_06/2022</t>
  </si>
  <si>
    <t>19.2.5</t>
  </si>
  <si>
    <t>89497</t>
  </si>
  <si>
    <t>JOELHO 90 GRAUS, PVC, SOLDÁVEL, DN 40MM, INSTALADO EM PRUMADA DE ÁGUA - FORNECIMENTO E INSTALAÇÃO. AF_06/2022</t>
  </si>
  <si>
    <t>19.2.6</t>
  </si>
  <si>
    <t>89623</t>
  </si>
  <si>
    <t>TE, PVC, SOLDÁVEL, DN 40MM, INSTALADO EM PRUMADA DE ÁGUA - FORNECIMENTO E INSTALAÇÃO. AF_06/2022</t>
  </si>
  <si>
    <t>19.2.7</t>
  </si>
  <si>
    <t>103964</t>
  </si>
  <si>
    <t>BUCHA DE REDUÇÃO, LONGA, PVC, SOLDÁVEL, DN 40 X 25 MM, INSTALADO EM PRUMADA DE ÁGUA - FORNECIMENTO E INSTALAÇÃO. AF_06/2022</t>
  </si>
  <si>
    <t>20</t>
  </si>
  <si>
    <t>INSTALAÇÕES DE CABEAMENTO ESTRUTURADO</t>
  </si>
  <si>
    <t>20.1</t>
  </si>
  <si>
    <t>EQUIPAMENTOS PASSIVOS</t>
  </si>
  <si>
    <t>20.1.1</t>
  </si>
  <si>
    <t>98301</t>
  </si>
  <si>
    <t>PATCH PANEL 24 PORTAS, CATEGORIA 5E - FORNECIMENTO E INSTALAÇÃO. AF_11/2019</t>
  </si>
  <si>
    <t>20.1.2</t>
  </si>
  <si>
    <t>98305</t>
  </si>
  <si>
    <t>RACK FECHADO PARA SERVIDOR - FORNECIMENTO E INSTALAÇÃO. AF_11/2019</t>
  </si>
  <si>
    <t>20.1.3</t>
  </si>
  <si>
    <t>FNDE 76</t>
  </si>
  <si>
    <t>SWITCH TIPO 24 PORTAS</t>
  </si>
  <si>
    <t>20.1.4</t>
  </si>
  <si>
    <t>FNDE 122</t>
  </si>
  <si>
    <t>BANDEJA MÓVEL, PADRÃO 19"</t>
  </si>
  <si>
    <t>20.1.5</t>
  </si>
  <si>
    <t>FNDE 123</t>
  </si>
  <si>
    <t>GUIA DE CABOS FECHADO 1U</t>
  </si>
  <si>
    <t>un</t>
  </si>
  <si>
    <t>20.2</t>
  </si>
  <si>
    <t>CABOS</t>
  </si>
  <si>
    <t>20.2.1</t>
  </si>
  <si>
    <t>98297</t>
  </si>
  <si>
    <t>CABO ELETRÔNICO CATEGORIA 6, INSTALADO EM EDIFICAÇÃO INSTITUCIONAL - FORNECIMENTO E INSTALAÇÃO. AF_11/2019</t>
  </si>
  <si>
    <t>20.2.2</t>
  </si>
  <si>
    <t>FNDE 316</t>
  </si>
  <si>
    <t>CABO ÓPTICO MULTIMODO, 4 FIBRA - FORNECIMENTO E INSTALAÇÃO</t>
  </si>
  <si>
    <t>20.3</t>
  </si>
  <si>
    <t>20.3.1</t>
  </si>
  <si>
    <t>98307</t>
  </si>
  <si>
    <t>TOMADA DE REDE RJ45 - FORNECIMENTO E INSTALAÇÃO. AF_11/2019</t>
  </si>
  <si>
    <t>20.3.2</t>
  </si>
  <si>
    <t>20.3.3</t>
  </si>
  <si>
    <t>91875</t>
  </si>
  <si>
    <t>LUVA PARA ELETRODUTO, PVC, ROSCÁVEL, DN 25 MM (3/4"), PARA CIRCUITOS TERMINAIS, INSTALADA EM FORRO - FORNECIMENTO E INSTALAÇÃO. AF_03/2023</t>
  </si>
  <si>
    <t>20.3.4</t>
  </si>
  <si>
    <t>20.3.5</t>
  </si>
  <si>
    <t>20.3.6</t>
  </si>
  <si>
    <t>92370</t>
  </si>
  <si>
    <t>LUVA, EM FERRO GALVANIZADO, DN 25 (1"), CONEXÃO ROSQUEADA, INSTALADO EM REDE DE ALIMENTAÇÃO PARA HIDRANTE - FORNECIMENTO E INSTALAÇÃO. AF_10/2020</t>
  </si>
  <si>
    <t>20.3.7</t>
  </si>
  <si>
    <t>92697</t>
  </si>
  <si>
    <t>LUVA, EM FERRO GALVANIZADO, CONEXÃO ROSQUEADA, DN 25 (1"), INSTALADO EM RAMAIS E SUB-RAMAIS DE GÁS - FORNECIMENTO E INSTALAÇÃO. AF_10/2020</t>
  </si>
  <si>
    <t>20.3.8</t>
  </si>
  <si>
    <t>20.3.9</t>
  </si>
  <si>
    <t>20.3.10</t>
  </si>
  <si>
    <t>92666</t>
  </si>
  <si>
    <t>LUVA, EM FERRO GALVANIZADO, CONEXÃO ROSQUEADA, DN 65 (2 1/2"), INSTALADO EM REDE DE ALIMENTAÇÃO PARA SPRINKLER - FORNECIMENTO E INSTALAÇÃO. AF_10/2020</t>
  </si>
  <si>
    <t>20.3.11</t>
  </si>
  <si>
    <t>91945</t>
  </si>
  <si>
    <t>SUPORTE PARAFUSADO COM PLACA DE ENCAIXE 4" X 2" ALTO (2,00 M DO PISO) PARA PONTO ELÉTRICO - FORNECIMENTO E INSTALAÇÃO. AF_03/2023</t>
  </si>
  <si>
    <t>20.3.12</t>
  </si>
  <si>
    <t>FNDE 42</t>
  </si>
  <si>
    <t>INSTALAÇÃO DE EXAUSTOR ELÉTRICO TIPO DOMICILIAR</t>
  </si>
  <si>
    <t>20.4</t>
  </si>
  <si>
    <t>CAIXAS E QUADROS</t>
  </si>
  <si>
    <t>20.4.1</t>
  </si>
  <si>
    <t>FNDE 31</t>
  </si>
  <si>
    <t>CAIXA DE CONCRETO ARMADO PRE-MOLDADO, COM FUNDO E TAMPA, DIMENSOES DE 0,30 X 0,30 X 0,30 M</t>
  </si>
  <si>
    <t>20.4.2</t>
  </si>
  <si>
    <t>101795</t>
  </si>
  <si>
    <t>CAIXA ENTERRADA PARA INSTALAÇÕES TELEFÔNICAS TIPO R1, EM ALVENARIA COM BLOCOS DE CONCRETO, DIMENSÕES INTERNAS: 0,35X0,60X0,60 M, EXCLUINDO TAMPÃO. AF_12/2020</t>
  </si>
  <si>
    <t>20.4.3</t>
  </si>
  <si>
    <t>100557</t>
  </si>
  <si>
    <t>CAIXA DE PASSAGEM PARA TELEFONE 80X80X15CM (SOBREPOR) FORNECIMENTO E INSTALACAO. AF_11/2019</t>
  </si>
  <si>
    <t>20.4.4</t>
  </si>
  <si>
    <t>100556</t>
  </si>
  <si>
    <t>CAIXA DE PASSAGEM PARA TELEFONE 15X15X10CM (SOBREPOR), FORNECIMENTO E INSTALACAO. AF_11/2019</t>
  </si>
  <si>
    <t>20.5</t>
  </si>
  <si>
    <t>ELETROCALHA E ELETRODUTOS</t>
  </si>
  <si>
    <t>20.5.1</t>
  </si>
  <si>
    <t>20.5.2</t>
  </si>
  <si>
    <t>20.5.3</t>
  </si>
  <si>
    <t>20.5.4</t>
  </si>
  <si>
    <t>20.5.5</t>
  </si>
  <si>
    <t>20.5.6</t>
  </si>
  <si>
    <t>20.5.7</t>
  </si>
  <si>
    <t>20.5.8</t>
  </si>
  <si>
    <t>20.5.9</t>
  </si>
  <si>
    <t>21</t>
  </si>
  <si>
    <t>SISTEMA DE EXAUSTÃO MECÂNICA</t>
  </si>
  <si>
    <t>21.1</t>
  </si>
  <si>
    <t>FNDE 44</t>
  </si>
  <si>
    <t>DUTO DE ALONGAMENTO PARA EXAUSTOR</t>
  </si>
  <si>
    <t>21.2</t>
  </si>
  <si>
    <t>FNDE 45</t>
  </si>
  <si>
    <t>COIFA EM AÇO INOX 100CM X 150CM</t>
  </si>
  <si>
    <t>22</t>
  </si>
  <si>
    <t>SISTEMA DE PROTEÇÃO CONTRA DESCARGAS ATMOSFÉRICAS (SPDA)</t>
  </si>
  <si>
    <t>22.1</t>
  </si>
  <si>
    <t>96989</t>
  </si>
  <si>
    <t>CAPTOR TIPO FRANKLIN PARA SPDA - FORNECIMENTO E INSTALAÇÃO. AF_08/2023</t>
  </si>
  <si>
    <t>22.2</t>
  </si>
  <si>
    <t>104753</t>
  </si>
  <si>
    <t>CONECTOR SPLIT-BOLT, PARA SPDA, PARA CABOS ATÉ 50 MM2 - FORNECIMENTO E INSTALAÇÃO. AF_08/2023</t>
  </si>
  <si>
    <t>22.3</t>
  </si>
  <si>
    <t>101663</t>
  </si>
  <si>
    <t>ABRAÇADEIRA DE FIXAÇÃO DE BRAÇOS DE LUMINÁRIAS DE 2" - FORNECIMENTO E INSTALAÇÃO. AF_08/2020</t>
  </si>
  <si>
    <t>22.4</t>
  </si>
  <si>
    <t>FNDE 68</t>
  </si>
  <si>
    <t>CONJUNTO DE ESTAIAMENTO PARA MASTRO DE SPDA</t>
  </si>
  <si>
    <t>22.5</t>
  </si>
  <si>
    <t>FNDE 69</t>
  </si>
  <si>
    <t>CAIXA DE EQUALIZAÇÃO DE ATERRAMENTO ELÉTRICO</t>
  </si>
  <si>
    <t>22.6</t>
  </si>
  <si>
    <t>93358</t>
  </si>
  <si>
    <t>ESCAVAÇÃO MANUAL DE VALA COM PROFUNDIDADE MENOR OU IGUAL A 1,30 M. AF_02/2021</t>
  </si>
  <si>
    <t>22.7</t>
  </si>
  <si>
    <t>93382</t>
  </si>
  <si>
    <t>REATERRO MANUAL DE VALAS, COM COMPACTADOR DE SOLOS DE PERCUSSÃO. AF_08/2023</t>
  </si>
  <si>
    <t>22.8</t>
  </si>
  <si>
    <t>96985</t>
  </si>
  <si>
    <t>HASTE DE ATERRAMENTO, DIÂMETRO 5/8", COM 3 METROS - FORNECIMENTO E INSTALAÇÃO. AF_08/2023</t>
  </si>
  <si>
    <t>22.9</t>
  </si>
  <si>
    <t>96973</t>
  </si>
  <si>
    <t>CORDOALHA DE COBRE NU 35 MM², NÃO ENTERRADA, COM ISOLADOR - FORNECIMENTO E INSTALAÇÃO. AF_08/2023</t>
  </si>
  <si>
    <t>22.10</t>
  </si>
  <si>
    <t>96977</t>
  </si>
  <si>
    <t>CORDOALHA DE COBRE NU 50 MM², ENTERRADA - FORNECIMENTO E INSTALAÇÃO. AF_08/2023</t>
  </si>
  <si>
    <t>22.11</t>
  </si>
  <si>
    <t>98111</t>
  </si>
  <si>
    <t>CAIXA DE INSPEÇÃO PARA ATERRAMENTO, CIRCULAR, EM POLIETILENO, DIÂMETRO INTERNO = 0,3 M. AF_12/2020</t>
  </si>
  <si>
    <t>22.12</t>
  </si>
  <si>
    <t>FNDE 70</t>
  </si>
  <si>
    <t>TERMINAL A COMPRESSÃO</t>
  </si>
  <si>
    <t>22.13</t>
  </si>
  <si>
    <t>FNDE 71</t>
  </si>
  <si>
    <t>SOLDA EXOTÉRMICA PARA SPDA - FORNECIMENTO E INSTALAÇÃO.</t>
  </si>
  <si>
    <t>22.14</t>
  </si>
  <si>
    <t>92884</t>
  </si>
  <si>
    <t>ARMAÇÃO UTILIZANDO AÇO CA-25 DE 10,0 MM - MONTAGEM. AF_06/2022</t>
  </si>
  <si>
    <t>22.15</t>
  </si>
  <si>
    <t>98463</t>
  </si>
  <si>
    <t>SUPORTE ISOLADOR PARA FIXAÇÃO DA CORDOALHA DE COBRE EM ALVENARIA OU CONCRETO - FORNECIMENTO E INSTALAÇÃO. AF_08/2023</t>
  </si>
  <si>
    <t>23</t>
  </si>
  <si>
    <t>SERVIÇOS COMPLEMENTARES</t>
  </si>
  <si>
    <t>23.1</t>
  </si>
  <si>
    <t>FNDE 39</t>
  </si>
  <si>
    <t>CONJUNTO DE MASTRO P/ TRÊS BANDEIRAS E PEDESTAL</t>
  </si>
  <si>
    <t>23.2</t>
  </si>
  <si>
    <t>FNDE 40</t>
  </si>
  <si>
    <t>BANCADA DE GRANITO CINZA ANDORINHA, INCLUSIVE PASSA PRATOS, ESPESSURA 2 CM - FORNECIMENTO E INSTALAÇÃO</t>
  </si>
  <si>
    <t>23.3</t>
  </si>
  <si>
    <t>FNDE 47</t>
  </si>
  <si>
    <t>PRATELEIRA DE GRANITO CINZA ANDORINHA, ESPESSURA 2 CM - FORNECIMENTO E INSTALAÇÃO</t>
  </si>
  <si>
    <t>23.4</t>
  </si>
  <si>
    <t>FNDE 48</t>
  </si>
  <si>
    <t>ESCANINHOS EM MDF, REVESTIDOS EM LAMINADO MELAMÍNICO</t>
  </si>
  <si>
    <t>23.5</t>
  </si>
  <si>
    <t>FNDE 126</t>
  </si>
  <si>
    <t>TUBO AÇO GALVANIZADO D=3" P/BICICLETÁRIO, DIMENSÃO: H=75CM, L=150 CM, FIXADO EM BASE DE CONCRETO, PINTADO C/ESMALTE SINTETICO, EXCETO BASE DE CONCRETO E PINTURA DE ACABAMENTO</t>
  </si>
  <si>
    <t>23.6</t>
  </si>
  <si>
    <t>FNDE 72</t>
  </si>
  <si>
    <t>BANCO EM ALVENARIA, TAMPO EM CONCRETO, C/ENCOSTO H=80cm (PINTADO)</t>
  </si>
  <si>
    <t>23.7</t>
  </si>
  <si>
    <t>FNDE 128</t>
  </si>
  <si>
    <t>PORTA OBJETO EM GRANITO CINZA ANDORINHA, ESPESSURA 2 CM - FORNECIMENTO E INSTALAÇÃO</t>
  </si>
  <si>
    <t>23.8</t>
  </si>
  <si>
    <t>FNDE 73</t>
  </si>
  <si>
    <t>BANCO EM ALVENARIA REVESTIDO EM CERÂMICA</t>
  </si>
  <si>
    <t>23.9</t>
  </si>
  <si>
    <t>FNDE 311</t>
  </si>
  <si>
    <t>PEITORIL LINEAR EM GRANITO OU MÁRMORE, L = 24CM, COMPRIMENTO DE ATÉ 2M, ASSENTADO COM ARGAMASSA 1:6 COM ADITIVO.</t>
  </si>
  <si>
    <t>23.10</t>
  </si>
  <si>
    <t>100861</t>
  </si>
  <si>
    <t>SUPORTE MÃO FRANCESA EM AÇO, ABAS IGUAIS 30 CM, CAPACIDADE MINIMA 60 KG, BRANCO - FORNECIMENTO E INSTALAÇÃO. AF_01/2020</t>
  </si>
  <si>
    <t>23.11</t>
  </si>
  <si>
    <t>FNDE 325</t>
  </si>
  <si>
    <t>POSTE OFICIAL COMPLETO PARA REDE DE VOLEI</t>
  </si>
  <si>
    <t>CJ</t>
  </si>
  <si>
    <t>23.12</t>
  </si>
  <si>
    <t>FNDE 327</t>
  </si>
  <si>
    <t>TRAVE OFICIAL COMPLETA PARA FUTEBOL DE SALÃO</t>
  </si>
  <si>
    <t>23.13</t>
  </si>
  <si>
    <t>FNDE 326</t>
  </si>
  <si>
    <t>TABELA DE BASQUETE OFICIAL COMPLETA</t>
  </si>
  <si>
    <t>24</t>
  </si>
  <si>
    <t>SERVIÇOS FINAIS</t>
  </si>
  <si>
    <t>24.1</t>
  </si>
  <si>
    <t>99803</t>
  </si>
  <si>
    <t>LIMPEZA DE PISO CERÂMICO OU PORCELANATO COM PANO ÚMIDO. AF_04/2019</t>
  </si>
  <si>
    <t>24.2</t>
  </si>
  <si>
    <t>VALOR ORÇAMENTO:</t>
  </si>
  <si>
    <t>102116</t>
  </si>
  <si>
    <t>MINISTÉRIO DA EDUCAÇÃO</t>
  </si>
  <si>
    <t>BDI :</t>
  </si>
  <si>
    <t>Fonte</t>
  </si>
  <si>
    <t>2024/03</t>
  </si>
  <si>
    <t>SEM DESONERAÇÃO</t>
  </si>
  <si>
    <t>SP OBRAS</t>
  </si>
  <si>
    <t>Edificação principal do 13 salas</t>
  </si>
  <si>
    <t>Obra: 13 salas - opção 110V</t>
  </si>
  <si>
    <t>LUVA, EM FERRO GALVANIZADO, CONEXÃO ROSQUEADA, DN 15 (1/2"), INSTALADO EM RAMAIS E SUB-RAMAIS DE GÁS - FORNECIMENTO E INSTALAÇÃO. AF_10/2020</t>
  </si>
  <si>
    <t>Planilha Orçamentária: 13T-PLN-AT2-B127-R00</t>
  </si>
  <si>
    <t>Unidade federativa: MINAS GERAIS</t>
  </si>
  <si>
    <t xml:space="preserve">Fundo Nacional de Desenvolvimento da Educação - CNPJ: 00.378.257/0001-81- Brasília/DF.
Observações:
1- Esta planilha possui caráter referencial de modo a subsidiar a elaboração da planilha de licitação. Os itens devem ser revistos e adequados ao projeto básico, desenvolvido localmente que deverá conter elementos de adaptação do projeto-padrão ao contexto local (terreno, solo, legislação municipal e normas das concessionárias).
2- O desenvolvimento do projeto básico, que inclui projeto de fundações, e elaboração da planilha de licitação são de responsabilidade dos entes federativos.
3- As fundações a serem executadas deverão ser adequadas ao tipo de solo da região, sendo esta, uma responsabilidade do ente federativo.
4- Cada ente federativo deve consultar a planilha de referência da sua unidade federativa, considerando a voltagem da região.
5- Para valores de referência de material/equipamentos não encontrados na tabela SINAPI, foram adotados valores de referência da fonte "SPOBRAS", mantendo os demais insumos, como mão-de-obra do SINAPI. Dessa forma, foram preservados os mesmos encargos sociais para toda a planilha.
6- Para valores de referência de material/equipamentos não encontrados na tabela SINAPI nem na tabela do "SPOBRAS", foram criadas composições próprias com código FNDE, mantendo os demais insumos, como a mão de obra do SINAPI. Dessa forma, foram preservados os mesmos encargos sociais para toda a planilha.
7- As referências do SINAPI são divulgadas nos relatórios com legenda de identificação da origem do preço: (C) preço do insumo coletado pelo IBGE; (CR) preço obtido por meio do coeficiente de representatividade do insumo – metodologia de família homogênea; ou (AS) preço atribuído com base no preço do insumo para a localidade de São Paulo/SP.
8- A utilização de referências de identificação da origem do preço é decisão do orçamentista, que deve verificar se o preço é adequado para a localidade a que se destina o orçamento, considerando a relevância do insumo no custo total do orçamento. </t>
  </si>
  <si>
    <t>CRONOGRAMA FÍSICO-FINANCEIRO</t>
  </si>
  <si>
    <t>1 - IDENTIFICAÇÃO</t>
  </si>
  <si>
    <t>Programa:</t>
  </si>
  <si>
    <t>Programa de Aceleração do Crescimento (PAC)</t>
  </si>
  <si>
    <t>Endereço/Bairro:</t>
  </si>
  <si>
    <t>Município/MG:</t>
  </si>
  <si>
    <t>São João das Missões</t>
  </si>
  <si>
    <t>Data da elaboração do orçamento:</t>
  </si>
  <si>
    <t xml:space="preserve"> 24/03/2024</t>
  </si>
  <si>
    <t>DISCRIMINAÇÃO   SERVIÇOS</t>
  </si>
  <si>
    <t>VALOR DOS   SERVIÇOS</t>
  </si>
  <si>
    <t>PESO</t>
  </si>
  <si>
    <t>SERVIÇOS A EXECUTAR</t>
  </si>
  <si>
    <t>MÊS -01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</si>
  <si>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</si>
  <si>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</si>
  <si>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</si>
  <si>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</si>
  <si>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</si>
  <si>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</si>
  <si>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</si>
  <si>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</si>
  <si>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</si>
  <si>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</si>
  <si>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</si>
  <si>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%</t>
  </si>
  <si>
    <t>SIMPL.%</t>
  </si>
  <si>
    <t>ACUM. %</t>
  </si>
  <si>
    <t>TOTAL EM PERCENTUAL</t>
  </si>
  <si>
    <t>TOTAL EM REAIS</t>
  </si>
  <si>
    <t>CONTRAPARTIDA</t>
  </si>
  <si>
    <t>REPASSE</t>
  </si>
  <si>
    <t>Responsável Técnico - CREA   - GERRARD TAYON FERREIRA LOPO -  CREA Nº 289963-MG</t>
  </si>
  <si>
    <t xml:space="preserve">ART 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</si>
  <si>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</si>
  <si>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</si>
  <si>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</si>
  <si>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</si>
  <si>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</si>
  <si>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</si>
  <si>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</si>
  <si>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</si>
  <si>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</si>
  <si>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</si>
  <si>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Nº TRANSFEREGOV</t>
  </si>
  <si>
    <t>PROPONENTE / TOMADOR</t>
  </si>
  <si>
    <t>DF</t>
  </si>
  <si>
    <t>L</t>
  </si>
  <si>
    <t>FILTRO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</si>
  <si>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</si>
  <si>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</si>
  <si>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</si>
  <si>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</si>
  <si>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↓</t>
  </si>
  <si>
    <t>Sobre a base de cálculo, definir a respectiva alíquota do ISS (entre 2% e 5%):</t>
  </si>
  <si>
    <t>F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</si>
  <si>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</si>
  <si>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</si>
  <si>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</si>
  <si>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</si>
  <si>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</si>
  <si>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</si>
  <si>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</si>
  <si>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</si>
  <si>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</si>
  <si>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</si>
  <si>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</si>
  <si>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</si>
  <si>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</si>
  <si>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</si>
  <si>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</si>
  <si>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</si>
  <si>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</si>
  <si>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</si>
  <si>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</si>
  <si>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</si>
  <si>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</si>
  <si>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</si>
  <si>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</si>
  <si>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</si>
  <si>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</si>
  <si>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</si>
  <si>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</si>
  <si>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</si>
  <si>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Observações:</t>
  </si>
  <si>
    <t>Estudos e Projetos, Planos e Gerenciamento e outros correlatos</t>
  </si>
  <si>
    <t>K1</t>
  </si>
  <si>
    <t>K2</t>
  </si>
  <si>
    <t>Local</t>
  </si>
  <si>
    <t>Data</t>
  </si>
  <si>
    <t>K3</t>
  </si>
  <si>
    <t>Responsável Técnico</t>
  </si>
  <si>
    <t>Nome:</t>
  </si>
  <si>
    <t>CREA/CAU:</t>
  </si>
  <si>
    <t>ART/RRT:</t>
  </si>
  <si>
    <t>BDI 2</t>
  </si>
  <si>
    <t>(SELECIONAR)</t>
  </si>
  <si>
    <t>BDI 3</t>
  </si>
  <si>
    <t>PREÇO
UNITÁRIO COM BDI R$</t>
  </si>
  <si>
    <t>PREÇO
TOTAL COM BDI R$</t>
  </si>
  <si>
    <t>VALOR TOTAL COM BDI:</t>
  </si>
  <si>
    <t>_________________________________________</t>
  </si>
  <si>
    <t>_________________________________________________</t>
  </si>
  <si>
    <t>Gerrard Tayon Ferreira Lopo</t>
  </si>
  <si>
    <t>Prefeito Municipal</t>
  </si>
  <si>
    <t xml:space="preserve">Eng. Civil </t>
  </si>
  <si>
    <t>Jair Cavalcante Barbosa</t>
  </si>
  <si>
    <t>Crea-MG: 289963</t>
  </si>
  <si>
    <t>DISPOSITIVO DR, 4 POLOS, SENSIBILIDADE DE 300 MA, CORRENTE DE 25 A, TIPO AC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</si>
  <si>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</si>
  <si>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</si>
  <si>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</si>
  <si>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</si>
  <si>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</si>
  <si>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</si>
  <si>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</si>
  <si>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</si>
  <si>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</si>
  <si>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</si>
  <si>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</si>
  <si>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</si>
  <si>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</si>
  <si>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</si>
  <si>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</si>
  <si>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</si>
  <si>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</si>
  <si>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</si>
  <si>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</si>
  <si>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</si>
  <si>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</si>
  <si>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</si>
  <si>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</si>
  <si>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</si>
  <si>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</si>
  <si>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</si>
  <si>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</si>
  <si>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</si>
  <si>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</si>
  <si>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</si>
  <si>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</si>
  <si>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</si>
  <si>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</si>
  <si>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</si>
  <si>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</si>
  <si>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</si>
  <si>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</si>
  <si>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</si>
  <si>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</si>
  <si>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</si>
  <si>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</si>
  <si>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</si>
  <si>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</si>
  <si>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</si>
  <si>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</si>
  <si>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</si>
  <si>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</si>
  <si>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</si>
  <si>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</si>
  <si>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</si>
  <si>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</si>
  <si>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</si>
  <si>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</si>
  <si>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</si>
  <si>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</si>
  <si>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</si>
  <si>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</si>
  <si>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</si>
  <si>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</si>
  <si>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</si>
  <si>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</si>
  <si>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</si>
  <si>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</si>
  <si>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</si>
  <si>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</si>
  <si>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</si>
  <si>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</si>
  <si>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</si>
  <si>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</si>
  <si>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</si>
  <si>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</si>
  <si>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</si>
  <si>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</si>
  <si>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</si>
  <si>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</si>
  <si>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</si>
  <si>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</si>
  <si>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</si>
  <si>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</si>
  <si>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</si>
  <si>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</si>
  <si>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</si>
  <si>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</si>
  <si>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3.348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</si>
  <si>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</si>
  <si>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</si>
  <si>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</si>
  <si>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</si>
  <si>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</si>
  <si>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</si>
  <si>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</si>
  <si>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</si>
  <si>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</si>
  <si>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</si>
  <si>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</si>
  <si>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</si>
  <si>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3.361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</si>
  <si>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</si>
  <si>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</si>
  <si>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</si>
  <si>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</si>
  <si>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</si>
  <si>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</si>
  <si>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</si>
  <si>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</si>
  <si>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</si>
  <si>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</si>
  <si>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</si>
  <si>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</si>
  <si>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</si>
  <si>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</si>
  <si>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</si>
  <si>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</si>
  <si>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</si>
  <si>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</si>
  <si>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</si>
  <si>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</si>
  <si>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</si>
  <si>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</si>
  <si>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</si>
  <si>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</si>
  <si>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</si>
  <si>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</si>
  <si>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</si>
  <si>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</si>
  <si>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</si>
  <si>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</si>
  <si>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</si>
  <si>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</si>
  <si>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</si>
  <si>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</si>
  <si>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</si>
  <si>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</si>
  <si>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</si>
  <si>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</si>
  <si>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</si>
  <si>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</si>
  <si>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</si>
  <si>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</si>
  <si>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</si>
  <si>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</si>
  <si>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</si>
  <si>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</si>
  <si>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</si>
  <si>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</si>
  <si>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</si>
  <si>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</si>
  <si>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</si>
  <si>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</si>
  <si>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</si>
  <si>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</si>
  <si>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</si>
  <si>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</si>
  <si>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</si>
  <si>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</si>
  <si>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</si>
  <si>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</si>
  <si>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</si>
  <si>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</si>
  <si>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</si>
  <si>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</si>
  <si>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</si>
  <si>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</si>
  <si>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</si>
  <si>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</si>
  <si>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</si>
  <si>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</si>
  <si>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</si>
  <si>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</si>
  <si>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</si>
  <si>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</si>
  <si>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</si>
  <si>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</si>
  <si>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</si>
  <si>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</si>
  <si>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</si>
  <si>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</si>
  <si>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</si>
  <si>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</si>
  <si>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</si>
  <si>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</si>
  <si>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</si>
  <si>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</si>
  <si>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</si>
  <si>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</si>
  <si>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</si>
  <si>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</si>
  <si>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</si>
  <si>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</si>
  <si>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</si>
  <si>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</si>
  <si>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</si>
  <si>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</si>
  <si>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</si>
  <si>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</si>
  <si>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</si>
  <si>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</si>
  <si>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</si>
  <si>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</si>
  <si>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</si>
  <si>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</si>
  <si>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</si>
  <si>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</si>
  <si>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</si>
  <si>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</si>
  <si>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</si>
  <si>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</si>
  <si>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</si>
  <si>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</si>
  <si>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</si>
  <si>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</si>
  <si>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</si>
  <si>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</si>
  <si>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</si>
  <si>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</si>
  <si>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</si>
  <si>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</si>
  <si>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</si>
  <si>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</si>
  <si>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</si>
  <si>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</si>
  <si>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</si>
  <si>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</si>
  <si>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</si>
  <si>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</si>
  <si>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3.490</t>
  </si>
  <si>
    <t>3.491</t>
  </si>
  <si>
    <t>3.492</t>
  </si>
  <si>
    <t>3.493</t>
  </si>
  <si>
    <t>3.494</t>
  </si>
  <si>
    <t>3.495</t>
  </si>
  <si>
    <t>3.496</t>
  </si>
  <si>
    <t>3.497</t>
  </si>
  <si>
    <t>3.498</t>
  </si>
  <si>
    <t>3.499</t>
  </si>
  <si>
    <t>3.500</t>
  </si>
  <si>
    <t>3.501</t>
  </si>
  <si>
    <t>3.502</t>
  </si>
  <si>
    <t>3.503</t>
  </si>
  <si>
    <t>3.504</t>
  </si>
  <si>
    <t>3.505</t>
  </si>
  <si>
    <t>3.506</t>
  </si>
  <si>
    <t>3.507</t>
  </si>
  <si>
    <t>3.508</t>
  </si>
  <si>
    <t>3.509</t>
  </si>
  <si>
    <t>3.510</t>
  </si>
  <si>
    <t>3.511</t>
  </si>
  <si>
    <t>3.512</t>
  </si>
  <si>
    <t>3.513</t>
  </si>
  <si>
    <t>3.514</t>
  </si>
  <si>
    <t>3.515</t>
  </si>
  <si>
    <t>3.516</t>
  </si>
  <si>
    <t>3.517</t>
  </si>
  <si>
    <t>3.518</t>
  </si>
  <si>
    <t>3.519</t>
  </si>
  <si>
    <t>3.520</t>
  </si>
  <si>
    <t>3.521</t>
  </si>
  <si>
    <t>3.522</t>
  </si>
  <si>
    <t>3.523</t>
  </si>
  <si>
    <t>3.524</t>
  </si>
  <si>
    <t>3.525</t>
  </si>
  <si>
    <t>3.526</t>
  </si>
  <si>
    <t>3.527</t>
  </si>
  <si>
    <t>3.528</t>
  </si>
  <si>
    <t>3.529</t>
  </si>
  <si>
    <t>3.530</t>
  </si>
  <si>
    <t>3.531</t>
  </si>
  <si>
    <t>3.532</t>
  </si>
  <si>
    <t>3.533</t>
  </si>
  <si>
    <t>3.534</t>
  </si>
  <si>
    <t>3.535</t>
  </si>
  <si>
    <t>3.536</t>
  </si>
  <si>
    <t>3.537</t>
  </si>
  <si>
    <t>3.538</t>
  </si>
  <si>
    <t>3.539</t>
  </si>
  <si>
    <t>3.540</t>
  </si>
  <si>
    <t>3.541</t>
  </si>
  <si>
    <t>3.542</t>
  </si>
  <si>
    <t>3.543</t>
  </si>
  <si>
    <t>3.544</t>
  </si>
  <si>
    <t>3.545</t>
  </si>
  <si>
    <t>3.546</t>
  </si>
  <si>
    <t>3.547</t>
  </si>
  <si>
    <t>3.548</t>
  </si>
  <si>
    <t>3.549</t>
  </si>
  <si>
    <t>3.550</t>
  </si>
  <si>
    <t>3.551</t>
  </si>
  <si>
    <t>3.552</t>
  </si>
  <si>
    <t>3.553</t>
  </si>
  <si>
    <t>3.554</t>
  </si>
  <si>
    <t>3.555</t>
  </si>
  <si>
    <t>3.556</t>
  </si>
  <si>
    <t>3.557</t>
  </si>
  <si>
    <t>3.558</t>
  </si>
  <si>
    <t>3.559</t>
  </si>
  <si>
    <t>3.560</t>
  </si>
  <si>
    <t>3.561</t>
  </si>
  <si>
    <t>3.562</t>
  </si>
  <si>
    <t>3.563</t>
  </si>
  <si>
    <t>3.564</t>
  </si>
  <si>
    <t>3.565</t>
  </si>
  <si>
    <t>3.566</t>
  </si>
  <si>
    <t>3.567</t>
  </si>
  <si>
    <t>3.568</t>
  </si>
  <si>
    <t>3.569</t>
  </si>
  <si>
    <t>3.570</t>
  </si>
  <si>
    <t>3.571</t>
  </si>
  <si>
    <t>3.572</t>
  </si>
  <si>
    <t>3.573</t>
  </si>
  <si>
    <t>3.574</t>
  </si>
  <si>
    <t>3.575</t>
  </si>
  <si>
    <t>3.576</t>
  </si>
  <si>
    <t>3.577</t>
  </si>
  <si>
    <t>3.578</t>
  </si>
  <si>
    <t>3.579</t>
  </si>
  <si>
    <t>3.580</t>
  </si>
  <si>
    <t>3.581</t>
  </si>
  <si>
    <t>3.582</t>
  </si>
  <si>
    <t>3.583</t>
  </si>
  <si>
    <t>3.584</t>
  </si>
  <si>
    <t>3.585</t>
  </si>
  <si>
    <t>3.586</t>
  </si>
  <si>
    <t>3.587</t>
  </si>
  <si>
    <t>3.588</t>
  </si>
  <si>
    <t>3.589</t>
  </si>
  <si>
    <t>3.590</t>
  </si>
  <si>
    <t>3.591</t>
  </si>
  <si>
    <t>3.592</t>
  </si>
  <si>
    <t>3.593</t>
  </si>
  <si>
    <t>3.594</t>
  </si>
  <si>
    <t>3.595</t>
  </si>
  <si>
    <t>3.596</t>
  </si>
  <si>
    <t>3.597</t>
  </si>
  <si>
    <t>3.598</t>
  </si>
  <si>
    <t>3.599</t>
  </si>
  <si>
    <t>3.600</t>
  </si>
  <si>
    <t>3.601</t>
  </si>
  <si>
    <t>3.602</t>
  </si>
  <si>
    <t>3.603</t>
  </si>
  <si>
    <t>3.604</t>
  </si>
  <si>
    <t>3.605</t>
  </si>
  <si>
    <t>3.606</t>
  </si>
  <si>
    <t>3.607</t>
  </si>
  <si>
    <t>3.608</t>
  </si>
  <si>
    <t>3.609</t>
  </si>
  <si>
    <t>3.610</t>
  </si>
  <si>
    <t>3.611</t>
  </si>
  <si>
    <t>3.612</t>
  </si>
  <si>
    <t>3.613</t>
  </si>
  <si>
    <t>3.614</t>
  </si>
  <si>
    <t>3.615</t>
  </si>
  <si>
    <t>3.616</t>
  </si>
  <si>
    <t>3.617</t>
  </si>
  <si>
    <t>3.618</t>
  </si>
  <si>
    <t>3.619</t>
  </si>
  <si>
    <t>3.620</t>
  </si>
  <si>
    <t>3.621</t>
  </si>
  <si>
    <t>3.622</t>
  </si>
  <si>
    <t>3.623</t>
  </si>
  <si>
    <t>3.624</t>
  </si>
  <si>
    <t>3.625</t>
  </si>
  <si>
    <t>3.626</t>
  </si>
  <si>
    <t>3.627</t>
  </si>
  <si>
    <t>3.628</t>
  </si>
  <si>
    <t>3.629</t>
  </si>
  <si>
    <t>3.630</t>
  </si>
  <si>
    <t>3.631</t>
  </si>
  <si>
    <t>3.632</t>
  </si>
  <si>
    <t>3.633</t>
  </si>
  <si>
    <t>3.634</t>
  </si>
  <si>
    <t>3.635</t>
  </si>
  <si>
    <t>3.636</t>
  </si>
  <si>
    <t>3.637</t>
  </si>
  <si>
    <t>3.638</t>
  </si>
  <si>
    <t>3.639</t>
  </si>
  <si>
    <t>3.640</t>
  </si>
  <si>
    <t>3.641</t>
  </si>
  <si>
    <t>3.642</t>
  </si>
  <si>
    <t>3.643</t>
  </si>
  <si>
    <t>3.644</t>
  </si>
  <si>
    <t>3.645</t>
  </si>
  <si>
    <t>3.646</t>
  </si>
  <si>
    <t>3.647</t>
  </si>
  <si>
    <t>3.648</t>
  </si>
  <si>
    <t>3.649</t>
  </si>
  <si>
    <t>3.650</t>
  </si>
  <si>
    <t>3.651</t>
  </si>
  <si>
    <t>3.652</t>
  </si>
  <si>
    <t>3.653</t>
  </si>
  <si>
    <t>3.654</t>
  </si>
  <si>
    <t>3.655</t>
  </si>
  <si>
    <t>3.656</t>
  </si>
  <si>
    <t>3.657</t>
  </si>
  <si>
    <t>3.658</t>
  </si>
  <si>
    <t>3.659</t>
  </si>
  <si>
    <t>3.660</t>
  </si>
  <si>
    <t>3.661</t>
  </si>
  <si>
    <t>3.662</t>
  </si>
  <si>
    <t>3.663</t>
  </si>
  <si>
    <t>3.664</t>
  </si>
  <si>
    <t>3.665</t>
  </si>
  <si>
    <t>3.666</t>
  </si>
  <si>
    <t>3.667</t>
  </si>
  <si>
    <t>3.668</t>
  </si>
  <si>
    <t>3.669</t>
  </si>
  <si>
    <t>3.670</t>
  </si>
  <si>
    <t>3.671</t>
  </si>
  <si>
    <t>3.672</t>
  </si>
  <si>
    <t>3.673</t>
  </si>
  <si>
    <t>3.674</t>
  </si>
  <si>
    <t>3.675</t>
  </si>
  <si>
    <t>3.676</t>
  </si>
  <si>
    <t>3.677</t>
  </si>
  <si>
    <t>3.678</t>
  </si>
  <si>
    <t>3.679</t>
  </si>
  <si>
    <t>3.680</t>
  </si>
  <si>
    <t>3.681</t>
  </si>
  <si>
    <t>3.682</t>
  </si>
  <si>
    <t>3.683</t>
  </si>
  <si>
    <t>3.684</t>
  </si>
  <si>
    <t>3.685</t>
  </si>
  <si>
    <t>3.686</t>
  </si>
  <si>
    <t>3.687</t>
  </si>
  <si>
    <t>3.688</t>
  </si>
  <si>
    <t>3.689</t>
  </si>
  <si>
    <t>3.690</t>
  </si>
  <si>
    <t>3.691</t>
  </si>
  <si>
    <t>3.692</t>
  </si>
  <si>
    <t>3.693</t>
  </si>
  <si>
    <t>3.694</t>
  </si>
  <si>
    <t>3.695</t>
  </si>
  <si>
    <t>3.696</t>
  </si>
  <si>
    <t>3.697</t>
  </si>
  <si>
    <t>3.698</t>
  </si>
  <si>
    <t>3.699</t>
  </si>
  <si>
    <t>3.700</t>
  </si>
  <si>
    <t>4.13</t>
  </si>
  <si>
    <t>4.23</t>
  </si>
  <si>
    <t>4.33</t>
  </si>
  <si>
    <t>4.14</t>
  </si>
  <si>
    <t>4.15</t>
  </si>
  <si>
    <t>4.16</t>
  </si>
  <si>
    <t>4.17</t>
  </si>
  <si>
    <t>4.26</t>
  </si>
  <si>
    <t>4.36</t>
  </si>
  <si>
    <t>4.46</t>
  </si>
  <si>
    <t>4.18</t>
  </si>
  <si>
    <t>4.19</t>
  </si>
  <si>
    <t>4.20</t>
  </si>
  <si>
    <t>4.21</t>
  </si>
  <si>
    <t>4.22</t>
  </si>
  <si>
    <t>4.24</t>
  </si>
  <si>
    <t>4.25</t>
  </si>
  <si>
    <t>4.27</t>
  </si>
  <si>
    <t>4.28</t>
  </si>
  <si>
    <t>4.29</t>
  </si>
  <si>
    <t>4.30</t>
  </si>
  <si>
    <t>4.31</t>
  </si>
  <si>
    <t>4.32</t>
  </si>
  <si>
    <t>4.34</t>
  </si>
  <si>
    <t>4.35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</si>
  <si>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</si>
  <si>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</si>
  <si>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</si>
  <si>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</si>
  <si>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</si>
  <si>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</si>
  <si>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</si>
  <si>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</si>
  <si>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</si>
  <si>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</si>
  <si>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</si>
  <si>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</si>
  <si>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</si>
  <si>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</si>
  <si>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</si>
  <si>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</si>
  <si>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</si>
  <si>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</si>
  <si>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</si>
  <si>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</si>
  <si>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RUA ESPIRITO SANTO, CIDADE NOVA  - SÃO JOÃO DAS MISSÕES -MG</t>
  </si>
  <si>
    <t>PREFEITURA MUNICIPAL DE SÃO JOÃO DAS MISSÕES - MG</t>
  </si>
  <si>
    <t>Prefeitura Municipal São João Das Missões -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</si>
</sst>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\R\$\ #,##0.00"/>
    <numFmt numFmtId="165" formatCode="\'\R\$\ \'###,###,##0.00"/>
    <numFmt numFmtId="166" formatCode="_(* #,##0.00_);_(* \(#,##0.00\);_(* &quot;-&quot;??_);_(@_)"/>
    <numFmt numFmtId="167" formatCode="&quot;R$&quot;#,##0.00_);\(&quot;R$&quot;#,##0.00\)"/>
    <numFmt numFmtId="168" formatCode="&quot;R$&quot;#,##0.00"/>
    <numFmt numFmtId="169" formatCode="_(&quot;R$ &quot;* #,##0.00_);_(&quot;R$ &quot;* \(#,##0.00\);_(&quot;R$ &quot;* \-??_);_(@_)"/>
    <numFmt numFmtId="170" formatCode="General;General"/>
    <numFmt numFmtId="171" formatCode="[$-F800]dddd\,\ mmmm\ dd\,\ yyyy"/>
    <numFmt numFmtId="172" formatCode="dd&quot; de &quot;mmmm&quot; de &quot;yyyy"/>
  </numFmts>
  <fonts count="35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sz val="8"/>
      <color rgb="FF000000"/>
      <name val="SansSerif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4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0">
    <xf numFmtId="0" fontId="0" fillId="0" borderId="0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166" fontId="6" fillId="3" borderId="1" applyFont="0" applyFill="0" applyBorder="0" applyAlignment="0" applyProtection="0"/>
    <xf numFmtId="166" fontId="6" fillId="3" borderId="1" applyFont="0" applyFill="0" applyBorder="0" applyAlignment="0" applyProtection="0"/>
    <xf numFmtId="166" fontId="7" fillId="3" borderId="1" applyFont="0" applyFill="0" applyBorder="0" applyAlignment="0" applyProtection="0"/>
    <xf numFmtId="9" fontId="7" fillId="3" borderId="1" applyFont="0" applyFill="0" applyBorder="0" applyAlignment="0" applyProtection="0"/>
    <xf numFmtId="0" fontId="3" fillId="3" borderId="1"/>
    <xf numFmtId="43" fontId="6" fillId="3" borderId="1" applyFont="0" applyFill="0" applyBorder="0" applyAlignment="0" applyProtection="0"/>
    <xf numFmtId="43" fontId="6" fillId="3" borderId="1" applyFont="0" applyFill="0" applyBorder="0" applyAlignment="0" applyProtection="0"/>
    <xf numFmtId="43" fontId="7" fillId="3" borderId="1" applyFont="0" applyFill="0" applyBorder="0" applyAlignment="0" applyProtection="0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3" fillId="3" borderId="1"/>
    <xf numFmtId="0" fontId="9" fillId="3" borderId="1"/>
    <xf numFmtId="0" fontId="7" fillId="3" borderId="1"/>
    <xf numFmtId="0" fontId="9" fillId="3" borderId="1"/>
    <xf numFmtId="169" fontId="7" fillId="3" borderId="1" applyFill="0" applyBorder="0" applyAlignment="0" applyProtection="0"/>
  </cellStyleXfs>
  <cellXfs count="232">
    <xf numFmtId="0" fontId="0" fillId="0" borderId="0" xfId="0"/>
    <xf numFmtId="0" fontId="5" fillId="3" borderId="3" xfId="1" applyFont="1" applyBorder="1" applyAlignment="1">
      <alignment horizontal="center" wrapText="1"/>
    </xf>
    <xf numFmtId="0" fontId="5" fillId="3" borderId="4" xfId="1" applyFont="1" applyBorder="1" applyAlignment="1">
      <alignment horizontal="center" wrapText="1"/>
    </xf>
    <xf numFmtId="0" fontId="5" fillId="3" borderId="5" xfId="1" applyFont="1" applyBorder="1" applyAlignment="1">
      <alignment horizontal="center" vertical="center" wrapText="1"/>
    </xf>
    <xf numFmtId="166" fontId="5" fillId="3" borderId="6" xfId="29" applyFont="1" applyFill="1" applyBorder="1" applyAlignment="1">
      <alignment vertical="center"/>
    </xf>
    <xf numFmtId="0" fontId="5" fillId="3" borderId="1" xfId="1" applyFont="1" applyAlignment="1">
      <alignment horizontal="center"/>
    </xf>
    <xf numFmtId="0" fontId="3" fillId="3" borderId="1" xfId="1" applyAlignment="1">
      <alignment horizontal="left" vertical="center" wrapText="1"/>
    </xf>
    <xf numFmtId="0" fontId="3" fillId="3" borderId="1" xfId="1" applyAlignment="1">
      <alignment horizontal="center" vertical="center" wrapText="1"/>
    </xf>
    <xf numFmtId="166" fontId="7" fillId="3" borderId="1" xfId="28" applyFont="1" applyFill="1" applyBorder="1" applyAlignment="1">
      <alignment horizontal="center" vertical="center" wrapText="1"/>
    </xf>
    <xf numFmtId="166" fontId="5" fillId="3" borderId="1" xfId="30" applyFont="1" applyFill="1" applyBorder="1" applyAlignment="1">
      <alignment horizontal="right" vertical="center" wrapText="1"/>
    </xf>
    <xf numFmtId="10" fontId="5" fillId="5" borderId="7" xfId="31" applyNumberFormat="1" applyFont="1" applyFill="1" applyBorder="1" applyAlignment="1">
      <alignment horizontal="center" vertical="center" wrapText="1"/>
    </xf>
    <xf numFmtId="166" fontId="7" fillId="3" borderId="1" xfId="29" quotePrefix="1" applyFont="1" applyFill="1" applyBorder="1" applyAlignment="1">
      <alignment vertical="center"/>
    </xf>
    <xf numFmtId="166" fontId="5" fillId="3" borderId="3" xfId="29" quotePrefix="1" applyFont="1" applyFill="1" applyBorder="1" applyAlignment="1">
      <alignment vertical="center"/>
    </xf>
    <xf numFmtId="0" fontId="3" fillId="3" borderId="4" xfId="1" applyBorder="1" applyAlignment="1">
      <alignment horizontal="center" vertical="center" wrapText="1"/>
    </xf>
    <xf numFmtId="166" fontId="7" fillId="3" borderId="5" xfId="29" quotePrefix="1" applyFont="1" applyFill="1" applyBorder="1" applyAlignment="1">
      <alignment horizontal="center" vertical="center"/>
    </xf>
    <xf numFmtId="0" fontId="5" fillId="3" borderId="1" xfId="1" applyFont="1" applyAlignment="1">
      <alignment vertical="center"/>
    </xf>
    <xf numFmtId="0" fontId="5" fillId="3" borderId="6" xfId="1" applyFont="1" applyBorder="1" applyAlignment="1">
      <alignment vertical="center"/>
    </xf>
    <xf numFmtId="0" fontId="7" fillId="3" borderId="1" xfId="1" applyFont="1" applyAlignment="1">
      <alignment horizontal="center" vertical="center"/>
    </xf>
    <xf numFmtId="166" fontId="7" fillId="3" borderId="7" xfId="29" quotePrefix="1" applyFont="1" applyFill="1" applyBorder="1" applyAlignment="1">
      <alignment horizontal="center" vertical="center"/>
    </xf>
    <xf numFmtId="0" fontId="5" fillId="3" borderId="8" xfId="1" applyFont="1" applyBorder="1" applyAlignment="1">
      <alignment vertical="center"/>
    </xf>
    <xf numFmtId="0" fontId="7" fillId="3" borderId="9" xfId="1" applyFont="1" applyBorder="1" applyAlignment="1">
      <alignment horizontal="center" vertical="center"/>
    </xf>
    <xf numFmtId="0" fontId="7" fillId="3" borderId="10" xfId="1" applyFont="1" applyBorder="1" applyAlignment="1">
      <alignment horizontal="center" vertical="center"/>
    </xf>
    <xf numFmtId="0" fontId="3" fillId="3" borderId="8" xfId="1" applyBorder="1" applyAlignment="1">
      <alignment horizontal="center"/>
    </xf>
    <xf numFmtId="0" fontId="3" fillId="3" borderId="9" xfId="1" applyBorder="1" applyAlignment="1">
      <alignment horizontal="center"/>
    </xf>
    <xf numFmtId="0" fontId="3" fillId="3" borderId="9" xfId="1" applyBorder="1" applyAlignment="1">
      <alignment horizontal="left" vertical="center"/>
    </xf>
    <xf numFmtId="0" fontId="3" fillId="3" borderId="9" xfId="1" applyBorder="1" applyAlignment="1">
      <alignment horizontal="center" vertical="center"/>
    </xf>
    <xf numFmtId="166" fontId="7" fillId="3" borderId="9" xfId="28" applyFont="1" applyFill="1" applyBorder="1" applyAlignment="1">
      <alignment horizontal="center" vertical="center"/>
    </xf>
    <xf numFmtId="166" fontId="7" fillId="3" borderId="9" xfId="28" applyFont="1" applyFill="1" applyBorder="1" applyAlignment="1">
      <alignment vertical="center"/>
    </xf>
    <xf numFmtId="0" fontId="3" fillId="3" borderId="10" xfId="1" applyBorder="1" applyAlignment="1">
      <alignment vertical="center"/>
    </xf>
    <xf numFmtId="0" fontId="5" fillId="3" borderId="14" xfId="1" applyFont="1" applyBorder="1" applyAlignment="1">
      <alignment horizontal="center" vertical="center"/>
    </xf>
    <xf numFmtId="0" fontId="5" fillId="3" borderId="14" xfId="1" applyFont="1" applyBorder="1" applyAlignment="1">
      <alignment horizontal="left" vertical="center"/>
    </xf>
    <xf numFmtId="166" fontId="5" fillId="3" borderId="14" xfId="28" applyFont="1" applyFill="1" applyBorder="1" applyAlignment="1">
      <alignment horizontal="center" vertical="center"/>
    </xf>
    <xf numFmtId="166" fontId="5" fillId="3" borderId="14" xfId="28" applyFont="1" applyFill="1" applyBorder="1" applyAlignment="1">
      <alignment vertical="center"/>
    </xf>
    <xf numFmtId="43" fontId="5" fillId="3" borderId="14" xfId="1" applyNumberFormat="1" applyFont="1" applyBorder="1" applyAlignment="1">
      <alignment vertical="center"/>
    </xf>
    <xf numFmtId="0" fontId="0" fillId="3" borderId="0" xfId="0" applyFill="1" applyAlignment="1" applyProtection="1">
      <alignment wrapText="1"/>
      <protection locked="0"/>
    </xf>
    <xf numFmtId="43" fontId="5" fillId="3" borderId="6" xfId="34" applyFont="1" applyFill="1" applyBorder="1" applyAlignment="1">
      <alignment vertical="center"/>
    </xf>
    <xf numFmtId="0" fontId="2" fillId="3" borderId="13" xfId="99" applyFont="1" applyBorder="1" applyAlignment="1">
      <alignment horizontal="justify" vertical="center" wrapText="1"/>
    </xf>
    <xf numFmtId="2" fontId="10" fillId="3" borderId="1" xfId="116" applyNumberFormat="1" applyFont="1" applyAlignment="1">
      <alignment horizontal="centerContinuous"/>
    </xf>
    <xf numFmtId="2" fontId="11" fillId="3" borderId="1" xfId="116" applyNumberFormat="1" applyFont="1" applyAlignment="1">
      <alignment horizontal="centerContinuous"/>
    </xf>
    <xf numFmtId="0" fontId="11" fillId="3" borderId="1" xfId="117" applyFont="1" applyAlignment="1">
      <alignment horizontal="centerContinuous"/>
    </xf>
    <xf numFmtId="2" fontId="11" fillId="3" borderId="1" xfId="116" applyNumberFormat="1" applyFont="1"/>
    <xf numFmtId="0" fontId="11" fillId="3" borderId="1" xfId="117" applyFont="1"/>
    <xf numFmtId="2" fontId="11" fillId="3" borderId="1" xfId="117" applyNumberFormat="1" applyFont="1"/>
    <xf numFmtId="4" fontId="11" fillId="3" borderId="1" xfId="117" applyNumberFormat="1" applyFont="1"/>
    <xf numFmtId="10" fontId="11" fillId="3" borderId="1" xfId="117" applyNumberFormat="1" applyFont="1" applyAlignment="1">
      <alignment horizontal="center"/>
    </xf>
    <xf numFmtId="0" fontId="10" fillId="3" borderId="1" xfId="117" applyFont="1"/>
    <xf numFmtId="10" fontId="10" fillId="3" borderId="1" xfId="117" applyNumberFormat="1" applyFont="1" applyAlignment="1">
      <alignment horizontal="center"/>
    </xf>
    <xf numFmtId="0" fontId="10" fillId="3" borderId="16" xfId="117" applyFont="1" applyBorder="1"/>
    <xf numFmtId="0" fontId="10" fillId="3" borderId="20" xfId="117" applyFont="1" applyBorder="1"/>
    <xf numFmtId="0" fontId="10" fillId="3" borderId="21" xfId="117" applyFont="1" applyBorder="1"/>
    <xf numFmtId="0" fontId="11" fillId="3" borderId="21" xfId="117" applyFont="1" applyBorder="1"/>
    <xf numFmtId="4" fontId="11" fillId="3" borderId="21" xfId="117" applyNumberFormat="1" applyFont="1" applyBorder="1"/>
    <xf numFmtId="2" fontId="11" fillId="3" borderId="1" xfId="116" applyNumberFormat="1" applyFont="1" applyAlignment="1">
      <alignment horizontal="center"/>
    </xf>
    <xf numFmtId="2" fontId="10" fillId="3" borderId="16" xfId="116" applyNumberFormat="1" applyFont="1" applyBorder="1" applyAlignment="1">
      <alignment horizontal="center"/>
    </xf>
    <xf numFmtId="2" fontId="10" fillId="3" borderId="17" xfId="116" applyNumberFormat="1" applyFont="1" applyBorder="1" applyAlignment="1" applyProtection="1">
      <alignment horizontal="centerContinuous"/>
      <protection locked="0"/>
    </xf>
    <xf numFmtId="2" fontId="10" fillId="3" borderId="19" xfId="116" applyNumberFormat="1" applyFont="1" applyBorder="1" applyAlignment="1">
      <alignment horizontal="centerContinuous"/>
    </xf>
    <xf numFmtId="2" fontId="10" fillId="3" borderId="24" xfId="116" applyNumberFormat="1" applyFont="1" applyBorder="1" applyAlignment="1" applyProtection="1">
      <alignment horizontal="centerContinuous"/>
      <protection locked="0"/>
    </xf>
    <xf numFmtId="2" fontId="10" fillId="3" borderId="22" xfId="116" applyNumberFormat="1" applyFont="1" applyBorder="1" applyAlignment="1">
      <alignment horizontal="centerContinuous"/>
    </xf>
    <xf numFmtId="2" fontId="10" fillId="3" borderId="16" xfId="116" applyNumberFormat="1" applyFont="1" applyBorder="1" applyAlignment="1" applyProtection="1">
      <alignment horizontal="centerContinuous"/>
      <protection locked="0"/>
    </xf>
    <xf numFmtId="2" fontId="10" fillId="3" borderId="16" xfId="116" applyNumberFormat="1" applyFont="1" applyBorder="1" applyAlignment="1">
      <alignment horizontal="centerContinuous"/>
    </xf>
    <xf numFmtId="2" fontId="10" fillId="3" borderId="14" xfId="116" applyNumberFormat="1" applyFont="1" applyBorder="1" applyAlignment="1">
      <alignment horizontal="center"/>
    </xf>
    <xf numFmtId="2" fontId="10" fillId="3" borderId="23" xfId="116" applyNumberFormat="1" applyFont="1" applyBorder="1" applyAlignment="1">
      <alignment horizontal="centerContinuous"/>
    </xf>
    <xf numFmtId="2" fontId="10" fillId="3" borderId="24" xfId="116" applyNumberFormat="1" applyFont="1" applyBorder="1" applyAlignment="1">
      <alignment horizontal="centerContinuous"/>
    </xf>
    <xf numFmtId="0" fontId="11" fillId="3" borderId="16" xfId="117" applyFont="1" applyBorder="1" applyAlignment="1">
      <alignment horizontal="center"/>
    </xf>
    <xf numFmtId="4" fontId="12" fillId="3" borderId="16" xfId="117" applyNumberFormat="1" applyFont="1" applyBorder="1" applyAlignment="1">
      <alignment horizontal="center"/>
    </xf>
    <xf numFmtId="10" fontId="13" fillId="3" borderId="16" xfId="116" applyNumberFormat="1" applyFont="1" applyBorder="1" applyAlignment="1">
      <alignment horizontal="center"/>
    </xf>
    <xf numFmtId="10" fontId="11" fillId="6" borderId="16" xfId="116" applyNumberFormat="1" applyFont="1" applyFill="1" applyBorder="1"/>
    <xf numFmtId="10" fontId="14" fillId="3" borderId="16" xfId="116" applyNumberFormat="1" applyFont="1" applyBorder="1" applyAlignment="1" applyProtection="1">
      <alignment horizontal="center"/>
      <protection locked="0"/>
    </xf>
    <xf numFmtId="10" fontId="15" fillId="3" borderId="16" xfId="116" applyNumberFormat="1" applyFont="1" applyBorder="1" applyAlignment="1">
      <alignment horizontal="center"/>
    </xf>
    <xf numFmtId="2" fontId="11" fillId="3" borderId="6" xfId="116" applyNumberFormat="1" applyFont="1" applyBorder="1"/>
    <xf numFmtId="2" fontId="11" fillId="6" borderId="16" xfId="116" applyNumberFormat="1" applyFont="1" applyFill="1" applyBorder="1" applyAlignment="1">
      <alignment horizontal="center"/>
    </xf>
    <xf numFmtId="167" fontId="10" fillId="3" borderId="16" xfId="116" applyNumberFormat="1" applyFont="1" applyBorder="1" applyAlignment="1">
      <alignment horizontal="center"/>
    </xf>
    <xf numFmtId="167" fontId="11" fillId="6" borderId="16" xfId="116" applyNumberFormat="1" applyFont="1" applyFill="1" applyBorder="1"/>
    <xf numFmtId="2" fontId="11" fillId="3" borderId="12" xfId="116" applyNumberFormat="1" applyFont="1" applyBorder="1"/>
    <xf numFmtId="168" fontId="16" fillId="7" borderId="16" xfId="116" applyNumberFormat="1" applyFont="1" applyFill="1" applyBorder="1" applyAlignment="1">
      <alignment horizontal="center"/>
    </xf>
    <xf numFmtId="0" fontId="17" fillId="3" borderId="1" xfId="117" applyFont="1" applyAlignment="1">
      <alignment vertical="center"/>
    </xf>
    <xf numFmtId="0" fontId="0" fillId="3" borderId="1" xfId="117" applyFont="1"/>
    <xf numFmtId="0" fontId="5" fillId="3" borderId="1" xfId="117" applyFont="1" applyAlignment="1">
      <alignment horizontal="center"/>
    </xf>
    <xf numFmtId="0" fontId="7" fillId="3" borderId="1" xfId="117"/>
    <xf numFmtId="0" fontId="18" fillId="3" borderId="1" xfId="117" applyFont="1" applyAlignment="1">
      <alignment horizontal="center"/>
    </xf>
    <xf numFmtId="0" fontId="5" fillId="3" borderId="31" xfId="117" applyFont="1" applyBorder="1" applyAlignment="1">
      <alignment horizontal="center"/>
    </xf>
    <xf numFmtId="10" fontId="19" fillId="3" borderId="31" xfId="117" applyNumberFormat="1" applyFont="1" applyBorder="1" applyAlignment="1">
      <alignment horizontal="center"/>
    </xf>
    <xf numFmtId="0" fontId="5" fillId="3" borderId="1" xfId="117" applyFont="1"/>
    <xf numFmtId="0" fontId="5" fillId="3" borderId="31" xfId="117" applyFont="1" applyBorder="1" applyAlignment="1">
      <alignment horizontal="center" vertical="center" wrapText="1"/>
    </xf>
    <xf numFmtId="1" fontId="21" fillId="3" borderId="1" xfId="117" applyNumberFormat="1" applyFont="1" applyAlignment="1">
      <alignment horizontal="center" vertical="center"/>
    </xf>
    <xf numFmtId="0" fontId="9" fillId="3" borderId="1" xfId="117" applyFont="1" applyAlignment="1">
      <alignment horizontal="left"/>
    </xf>
    <xf numFmtId="0" fontId="23" fillId="3" borderId="31" xfId="117" applyFont="1" applyBorder="1" applyAlignment="1">
      <alignment horizontal="center" vertical="center"/>
    </xf>
    <xf numFmtId="10" fontId="23" fillId="8" borderId="31" xfId="117" applyNumberFormat="1" applyFont="1" applyFill="1" applyBorder="1" applyAlignment="1" applyProtection="1">
      <alignment horizontal="center" vertical="center"/>
      <protection locked="0"/>
    </xf>
    <xf numFmtId="10" fontId="23" fillId="3" borderId="31" xfId="117" applyNumberFormat="1" applyFont="1" applyBorder="1" applyAlignment="1">
      <alignment horizontal="center" vertical="center"/>
    </xf>
    <xf numFmtId="10" fontId="23" fillId="3" borderId="31" xfId="117" applyNumberFormat="1" applyFont="1" applyBorder="1" applyAlignment="1">
      <alignment horizontal="center" vertical="center" wrapText="1"/>
    </xf>
    <xf numFmtId="0" fontId="23" fillId="3" borderId="31" xfId="117" applyFont="1" applyBorder="1" applyAlignment="1">
      <alignment horizontal="center" vertical="center" wrapText="1"/>
    </xf>
    <xf numFmtId="0" fontId="23" fillId="10" borderId="31" xfId="117" applyFont="1" applyFill="1" applyBorder="1" applyAlignment="1">
      <alignment horizontal="center" vertical="center" wrapText="1"/>
    </xf>
    <xf numFmtId="10" fontId="22" fillId="10" borderId="31" xfId="117" applyNumberFormat="1" applyFont="1" applyFill="1" applyBorder="1" applyAlignment="1">
      <alignment horizontal="center" vertical="center"/>
    </xf>
    <xf numFmtId="0" fontId="24" fillId="3" borderId="1" xfId="117" applyFont="1" applyAlignment="1">
      <alignment horizontal="right" vertical="center"/>
    </xf>
    <xf numFmtId="0" fontId="0" fillId="3" borderId="1" xfId="117" applyFont="1" applyAlignment="1">
      <alignment horizontal="center" vertical="top"/>
    </xf>
    <xf numFmtId="0" fontId="26" fillId="3" borderId="1" xfId="117" applyFont="1" applyAlignment="1">
      <alignment horizontal="right" vertical="center"/>
    </xf>
    <xf numFmtId="0" fontId="26" fillId="3" borderId="1" xfId="117" applyFont="1" applyAlignment="1">
      <alignment horizontal="left" vertical="center"/>
    </xf>
    <xf numFmtId="0" fontId="26" fillId="3" borderId="1" xfId="117" applyFont="1" applyAlignment="1">
      <alignment horizontal="center" vertical="top"/>
    </xf>
    <xf numFmtId="0" fontId="28" fillId="3" borderId="1" xfId="117" applyFont="1" applyAlignment="1">
      <alignment horizontal="center" vertical="top"/>
    </xf>
    <xf numFmtId="172" fontId="0" fillId="3" borderId="1" xfId="117" applyNumberFormat="1" applyFont="1"/>
    <xf numFmtId="0" fontId="5" fillId="3" borderId="34" xfId="117" applyFont="1" applyBorder="1" applyAlignment="1">
      <alignment horizontal="left"/>
    </xf>
    <xf numFmtId="0" fontId="0" fillId="3" borderId="34" xfId="117" applyFont="1" applyBorder="1"/>
    <xf numFmtId="0" fontId="23" fillId="3" borderId="1" xfId="117" applyFont="1"/>
    <xf numFmtId="0" fontId="5" fillId="3" borderId="1" xfId="118" applyFont="1" applyAlignment="1">
      <alignment horizontal="left" vertical="top"/>
    </xf>
    <xf numFmtId="0" fontId="0" fillId="3" borderId="1" xfId="117" applyFont="1" applyAlignment="1">
      <alignment vertical="top"/>
    </xf>
    <xf numFmtId="170" fontId="0" fillId="3" borderId="1" xfId="117" applyNumberFormat="1" applyFont="1"/>
    <xf numFmtId="170" fontId="0" fillId="3" borderId="1" xfId="117" applyNumberFormat="1" applyFont="1" applyAlignment="1">
      <alignment vertical="top"/>
    </xf>
    <xf numFmtId="0" fontId="1" fillId="3" borderId="1" xfId="0" applyFont="1" applyFill="1" applyBorder="1" applyAlignment="1">
      <alignment horizontal="right" vertical="center" wrapText="1"/>
    </xf>
    <xf numFmtId="0" fontId="5" fillId="3" borderId="1" xfId="1" applyFont="1" applyAlignment="1">
      <alignment horizontal="center" vertical="center" wrapText="1"/>
    </xf>
    <xf numFmtId="10" fontId="5" fillId="4" borderId="1" xfId="31" applyNumberFormat="1" applyFont="1" applyFill="1" applyBorder="1" applyAlignment="1">
      <alignment horizontal="center" vertical="center" wrapText="1"/>
    </xf>
    <xf numFmtId="10" fontId="5" fillId="5" borderId="1" xfId="31" applyNumberFormat="1" applyFont="1" applyFill="1" applyBorder="1" applyAlignment="1">
      <alignment horizontal="center" vertical="center" wrapText="1"/>
    </xf>
    <xf numFmtId="166" fontId="5" fillId="3" borderId="1" xfId="28" applyFont="1" applyFill="1" applyBorder="1" applyAlignment="1">
      <alignment horizontal="center" vertical="center" wrapText="1"/>
    </xf>
    <xf numFmtId="0" fontId="4" fillId="3" borderId="3" xfId="1" applyFont="1" applyBorder="1" applyAlignment="1">
      <alignment vertical="center" wrapText="1"/>
    </xf>
    <xf numFmtId="0" fontId="4" fillId="3" borderId="4" xfId="1" applyFont="1" applyBorder="1" applyAlignment="1">
      <alignment vertical="center" wrapText="1"/>
    </xf>
    <xf numFmtId="0" fontId="4" fillId="3" borderId="6" xfId="1" applyFont="1" applyBorder="1" applyAlignment="1">
      <alignment vertical="center" wrapText="1"/>
    </xf>
    <xf numFmtId="0" fontId="4" fillId="3" borderId="1" xfId="1" applyFont="1" applyAlignment="1">
      <alignment vertical="center" wrapText="1"/>
    </xf>
    <xf numFmtId="0" fontId="4" fillId="3" borderId="8" xfId="1" applyFont="1" applyBorder="1" applyAlignment="1">
      <alignment vertical="center" wrapText="1"/>
    </xf>
    <xf numFmtId="0" fontId="4" fillId="3" borderId="9" xfId="1" applyFont="1" applyBorder="1" applyAlignment="1">
      <alignment vertical="center" wrapText="1"/>
    </xf>
    <xf numFmtId="0" fontId="5" fillId="3" borderId="1" xfId="1" applyFont="1" applyAlignment="1">
      <alignment horizontal="center" wrapText="1"/>
    </xf>
    <xf numFmtId="166" fontId="7" fillId="3" borderId="35" xfId="29" quotePrefix="1" applyFont="1" applyFill="1" applyBorder="1" applyAlignment="1">
      <alignment horizontal="center" vertical="center"/>
    </xf>
    <xf numFmtId="0" fontId="7" fillId="3" borderId="35" xfId="1" applyFont="1" applyBorder="1" applyAlignment="1">
      <alignment horizontal="center" vertical="center"/>
    </xf>
    <xf numFmtId="0" fontId="3" fillId="3" borderId="36" xfId="1" applyBorder="1" applyAlignment="1">
      <alignment vertical="center"/>
    </xf>
    <xf numFmtId="166" fontId="5" fillId="3" borderId="35" xfId="28" applyFont="1" applyFill="1" applyBorder="1" applyAlignment="1">
      <alignment horizontal="center" vertical="center" wrapText="1"/>
    </xf>
    <xf numFmtId="10" fontId="5" fillId="0" borderId="7" xfId="31" applyNumberFormat="1" applyFont="1" applyFill="1" applyBorder="1" applyAlignment="1">
      <alignment horizontal="center" vertical="center" wrapText="1"/>
    </xf>
    <xf numFmtId="43" fontId="5" fillId="3" borderId="37" xfId="1" applyNumberFormat="1" applyFont="1" applyBorder="1" applyAlignment="1">
      <alignment vertical="center"/>
    </xf>
    <xf numFmtId="4" fontId="0" fillId="0" borderId="0" xfId="0" applyNumberFormat="1"/>
    <xf numFmtId="2" fontId="11" fillId="3" borderId="27" xfId="116" applyNumberFormat="1" applyFont="1" applyBorder="1"/>
    <xf numFmtId="0" fontId="0" fillId="0" borderId="0" xfId="0" applyAlignment="1">
      <alignment horizontal="center"/>
    </xf>
    <xf numFmtId="0" fontId="32" fillId="2" borderId="2" xfId="10" applyFont="1" applyFill="1" applyBorder="1" applyAlignment="1">
      <alignment horizontal="center" vertical="center" wrapText="1"/>
    </xf>
    <xf numFmtId="0" fontId="32" fillId="2" borderId="38" xfId="10" applyFont="1" applyFill="1" applyBorder="1" applyAlignment="1">
      <alignment horizontal="center" vertical="center" wrapText="1"/>
    </xf>
    <xf numFmtId="0" fontId="32" fillId="2" borderId="16" xfId="10" applyFont="1" applyFill="1" applyBorder="1" applyAlignment="1">
      <alignment horizontal="center" vertical="center" wrapText="1"/>
    </xf>
    <xf numFmtId="0" fontId="32" fillId="3" borderId="2" xfId="10" applyFont="1" applyBorder="1" applyAlignment="1">
      <alignment horizontal="left" vertical="center" wrapText="1"/>
    </xf>
    <xf numFmtId="164" fontId="32" fillId="3" borderId="38" xfId="10" applyNumberFormat="1" applyFont="1" applyBorder="1" applyAlignment="1">
      <alignment horizontal="right" vertical="center" wrapText="1"/>
    </xf>
    <xf numFmtId="164" fontId="32" fillId="3" borderId="16" xfId="10" applyNumberFormat="1" applyFont="1" applyBorder="1" applyAlignment="1">
      <alignment horizontal="right" vertical="center" wrapText="1"/>
    </xf>
    <xf numFmtId="0" fontId="33" fillId="3" borderId="2" xfId="10" applyFont="1" applyBorder="1" applyAlignment="1">
      <alignment horizontal="left" vertical="center" wrapText="1"/>
    </xf>
    <xf numFmtId="0" fontId="33" fillId="3" borderId="2" xfId="10" applyFont="1" applyBorder="1" applyAlignment="1">
      <alignment horizontal="center" vertical="center" wrapText="1"/>
    </xf>
    <xf numFmtId="0" fontId="33" fillId="3" borderId="2" xfId="10" applyFont="1" applyBorder="1" applyAlignment="1">
      <alignment horizontal="justify" vertical="center" wrapText="1"/>
    </xf>
    <xf numFmtId="4" fontId="33" fillId="3" borderId="2" xfId="10" applyNumberFormat="1" applyFont="1" applyBorder="1" applyAlignment="1">
      <alignment horizontal="right" vertical="center" wrapText="1"/>
    </xf>
    <xf numFmtId="164" fontId="33" fillId="3" borderId="2" xfId="10" applyNumberFormat="1" applyFont="1" applyBorder="1" applyAlignment="1">
      <alignment horizontal="right" vertical="center" wrapText="1"/>
    </xf>
    <xf numFmtId="165" fontId="33" fillId="3" borderId="38" xfId="10" applyNumberFormat="1" applyFont="1" applyBorder="1" applyAlignment="1">
      <alignment horizontal="right" vertical="center" wrapText="1"/>
    </xf>
    <xf numFmtId="165" fontId="33" fillId="3" borderId="16" xfId="10" applyNumberFormat="1" applyFont="1" applyBorder="1" applyAlignment="1">
      <alignment horizontal="right" vertical="center" wrapText="1"/>
    </xf>
    <xf numFmtId="165" fontId="33" fillId="0" borderId="16" xfId="10" applyNumberFormat="1" applyFont="1" applyFill="1" applyBorder="1" applyAlignment="1">
      <alignment horizontal="right" vertical="center" wrapText="1"/>
    </xf>
    <xf numFmtId="164" fontId="33" fillId="0" borderId="2" xfId="10" applyNumberFormat="1" applyFont="1" applyFill="1" applyBorder="1" applyAlignment="1">
      <alignment horizontal="right" vertical="center" wrapText="1"/>
    </xf>
    <xf numFmtId="165" fontId="32" fillId="3" borderId="16" xfId="10" applyNumberFormat="1" applyFont="1" applyBorder="1" applyAlignment="1">
      <alignment horizontal="right" vertical="center" wrapText="1"/>
    </xf>
    <xf numFmtId="0" fontId="34" fillId="3" borderId="1" xfId="10" applyFont="1" applyAlignment="1" applyProtection="1">
      <alignment wrapText="1"/>
      <protection locked="0"/>
    </xf>
    <xf numFmtId="0" fontId="32" fillId="3" borderId="1" xfId="10" applyFont="1" applyAlignment="1">
      <alignment horizontal="right" vertical="center" wrapText="1"/>
    </xf>
    <xf numFmtId="0" fontId="0" fillId="11" borderId="0" xfId="0" applyFill="1"/>
    <xf numFmtId="0" fontId="0" fillId="0" borderId="0" xfId="0" applyAlignment="1">
      <alignment horizontal="center"/>
    </xf>
    <xf numFmtId="0" fontId="2" fillId="3" borderId="11" xfId="99" applyFont="1" applyBorder="1" applyAlignment="1">
      <alignment horizontal="justify" vertical="center" wrapText="1"/>
    </xf>
    <xf numFmtId="0" fontId="2" fillId="3" borderId="12" xfId="99" applyFont="1" applyBorder="1" applyAlignment="1">
      <alignment horizontal="justify" vertical="center" wrapText="1"/>
    </xf>
    <xf numFmtId="166" fontId="5" fillId="3" borderId="11" xfId="28" applyFont="1" applyFill="1" applyBorder="1" applyAlignment="1">
      <alignment horizontal="center" vertical="center" wrapText="1"/>
    </xf>
    <xf numFmtId="166" fontId="5" fillId="3" borderId="12" xfId="28" applyFont="1" applyFill="1" applyBorder="1" applyAlignment="1">
      <alignment horizontal="center" vertical="center" wrapText="1"/>
    </xf>
    <xf numFmtId="166" fontId="5" fillId="3" borderId="13" xfId="28" applyFont="1" applyFill="1" applyBorder="1" applyAlignment="1">
      <alignment horizontal="center" vertical="center" wrapText="1"/>
    </xf>
    <xf numFmtId="0" fontId="32" fillId="3" borderId="1" xfId="10" applyFont="1" applyAlignment="1">
      <alignment horizontal="right" vertical="center" wrapText="1"/>
    </xf>
    <xf numFmtId="0" fontId="32" fillId="3" borderId="2" xfId="10" applyFont="1" applyBorder="1" applyAlignment="1">
      <alignment horizontal="left" vertical="center" wrapText="1"/>
    </xf>
    <xf numFmtId="0" fontId="4" fillId="3" borderId="3" xfId="1" applyFont="1" applyBorder="1" applyAlignment="1">
      <alignment horizontal="center" vertical="center" wrapText="1"/>
    </xf>
    <xf numFmtId="0" fontId="4" fillId="3" borderId="4" xfId="1" applyFont="1" applyBorder="1" applyAlignment="1">
      <alignment horizontal="center" vertical="center" wrapText="1"/>
    </xf>
    <xf numFmtId="0" fontId="4" fillId="3" borderId="5" xfId="1" applyFont="1" applyBorder="1" applyAlignment="1">
      <alignment horizontal="center" vertical="center" wrapText="1"/>
    </xf>
    <xf numFmtId="0" fontId="4" fillId="3" borderId="6" xfId="1" applyFont="1" applyBorder="1" applyAlignment="1">
      <alignment horizontal="center" vertical="center" wrapText="1"/>
    </xf>
    <xf numFmtId="0" fontId="4" fillId="3" borderId="1" xfId="1" applyFont="1" applyAlignment="1">
      <alignment horizontal="center" vertical="center" wrapText="1"/>
    </xf>
    <xf numFmtId="0" fontId="4" fillId="3" borderId="7" xfId="1" applyFont="1" applyBorder="1" applyAlignment="1">
      <alignment horizontal="center" vertical="center" wrapText="1"/>
    </xf>
    <xf numFmtId="0" fontId="4" fillId="3" borderId="8" xfId="1" applyFont="1" applyBorder="1" applyAlignment="1">
      <alignment horizontal="center" vertical="center" wrapText="1"/>
    </xf>
    <xf numFmtId="0" fontId="4" fillId="3" borderId="9" xfId="1" applyFont="1" applyBorder="1" applyAlignment="1">
      <alignment horizontal="center" vertical="center" wrapText="1"/>
    </xf>
    <xf numFmtId="0" fontId="4" fillId="3" borderId="10" xfId="1" applyFont="1" applyBorder="1" applyAlignment="1">
      <alignment horizontal="center" vertical="center" wrapText="1"/>
    </xf>
    <xf numFmtId="164" fontId="32" fillId="3" borderId="39" xfId="10" applyNumberFormat="1" applyFont="1" applyBorder="1" applyAlignment="1">
      <alignment horizontal="center" vertical="center" wrapText="1"/>
    </xf>
    <xf numFmtId="164" fontId="32" fillId="3" borderId="40" xfId="1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 vertical="center" wrapText="1"/>
    </xf>
    <xf numFmtId="2" fontId="11" fillId="3" borderId="22" xfId="116" applyNumberFormat="1" applyFont="1" applyBorder="1" applyAlignment="1">
      <alignment horizontal="center"/>
    </xf>
    <xf numFmtId="0" fontId="10" fillId="3" borderId="1" xfId="117" applyFont="1" applyAlignment="1">
      <alignment horizontal="center"/>
    </xf>
    <xf numFmtId="0" fontId="11" fillId="3" borderId="17" xfId="117" applyFont="1" applyBorder="1" applyAlignment="1">
      <alignment horizontal="left"/>
    </xf>
    <xf numFmtId="0" fontId="11" fillId="3" borderId="18" xfId="117" applyFont="1" applyBorder="1" applyAlignment="1">
      <alignment horizontal="left"/>
    </xf>
    <xf numFmtId="0" fontId="11" fillId="3" borderId="19" xfId="117" applyFont="1" applyBorder="1" applyAlignment="1">
      <alignment horizontal="left"/>
    </xf>
    <xf numFmtId="0" fontId="10" fillId="3" borderId="17" xfId="117" applyFont="1" applyBorder="1" applyAlignment="1">
      <alignment horizontal="left"/>
    </xf>
    <xf numFmtId="0" fontId="10" fillId="3" borderId="18" xfId="117" applyFont="1" applyBorder="1" applyAlignment="1">
      <alignment horizontal="left"/>
    </xf>
    <xf numFmtId="0" fontId="10" fillId="3" borderId="19" xfId="117" applyFont="1" applyBorder="1" applyAlignment="1">
      <alignment horizontal="left"/>
    </xf>
    <xf numFmtId="14" fontId="11" fillId="3" borderId="18" xfId="117" applyNumberFormat="1" applyFont="1" applyBorder="1" applyAlignment="1">
      <alignment horizontal="center"/>
    </xf>
    <xf numFmtId="0" fontId="11" fillId="3" borderId="18" xfId="117" applyFont="1" applyBorder="1" applyAlignment="1">
      <alignment horizontal="center"/>
    </xf>
    <xf numFmtId="0" fontId="10" fillId="3" borderId="16" xfId="117" applyFont="1" applyBorder="1" applyAlignment="1">
      <alignment horizontal="left" wrapText="1"/>
    </xf>
    <xf numFmtId="2" fontId="10" fillId="3" borderId="23" xfId="116" applyNumberFormat="1" applyFont="1" applyBorder="1" applyAlignment="1">
      <alignment horizontal="center"/>
    </xf>
    <xf numFmtId="2" fontId="10" fillId="3" borderId="26" xfId="116" applyNumberFormat="1" applyFont="1" applyBorder="1" applyAlignment="1">
      <alignment horizontal="center"/>
    </xf>
    <xf numFmtId="2" fontId="10" fillId="3" borderId="14" xfId="116" applyNumberFormat="1" applyFont="1" applyBorder="1" applyAlignment="1">
      <alignment horizontal="center"/>
    </xf>
    <xf numFmtId="2" fontId="10" fillId="3" borderId="24" xfId="116" applyNumberFormat="1" applyFont="1" applyBorder="1" applyAlignment="1">
      <alignment horizontal="center" wrapText="1"/>
    </xf>
    <xf numFmtId="2" fontId="10" fillId="3" borderId="25" xfId="116" applyNumberFormat="1" applyFont="1" applyBorder="1" applyAlignment="1">
      <alignment horizontal="center" wrapText="1"/>
    </xf>
    <xf numFmtId="2" fontId="10" fillId="3" borderId="27" xfId="116" applyNumberFormat="1" applyFont="1" applyBorder="1" applyAlignment="1">
      <alignment horizontal="center" wrapText="1"/>
    </xf>
    <xf numFmtId="2" fontId="10" fillId="3" borderId="28" xfId="116" applyNumberFormat="1" applyFont="1" applyBorder="1" applyAlignment="1">
      <alignment horizontal="center" wrapText="1"/>
    </xf>
    <xf numFmtId="2" fontId="10" fillId="3" borderId="20" xfId="116" applyNumberFormat="1" applyFont="1" applyBorder="1" applyAlignment="1">
      <alignment horizontal="center" wrapText="1"/>
    </xf>
    <xf numFmtId="2" fontId="10" fillId="3" borderId="29" xfId="116" applyNumberFormat="1" applyFont="1" applyBorder="1" applyAlignment="1">
      <alignment horizontal="center" wrapText="1"/>
    </xf>
    <xf numFmtId="2" fontId="10" fillId="3" borderId="23" xfId="116" applyNumberFormat="1" applyFont="1" applyBorder="1" applyAlignment="1">
      <alignment horizontal="center" wrapText="1"/>
    </xf>
    <xf numFmtId="2" fontId="10" fillId="3" borderId="26" xfId="116" applyNumberFormat="1" applyFont="1" applyBorder="1" applyAlignment="1">
      <alignment horizontal="center" wrapText="1"/>
    </xf>
    <xf numFmtId="2" fontId="10" fillId="3" borderId="14" xfId="116" applyNumberFormat="1" applyFont="1" applyBorder="1" applyAlignment="1">
      <alignment horizontal="center" wrapText="1"/>
    </xf>
    <xf numFmtId="2" fontId="10" fillId="3" borderId="16" xfId="116" applyNumberFormat="1" applyFont="1" applyBorder="1" applyAlignment="1">
      <alignment horizontal="center"/>
    </xf>
    <xf numFmtId="2" fontId="10" fillId="3" borderId="17" xfId="116" applyNumberFormat="1" applyFont="1" applyBorder="1" applyAlignment="1" applyProtection="1">
      <alignment horizontal="center"/>
      <protection locked="0"/>
    </xf>
    <xf numFmtId="2" fontId="10" fillId="3" borderId="19" xfId="116" applyNumberFormat="1" applyFont="1" applyBorder="1" applyAlignment="1" applyProtection="1">
      <alignment horizontal="center"/>
      <protection locked="0"/>
    </xf>
    <xf numFmtId="0" fontId="12" fillId="3" borderId="16" xfId="117" applyFont="1" applyBorder="1" applyAlignment="1">
      <alignment horizontal="left"/>
    </xf>
    <xf numFmtId="0" fontId="12" fillId="3" borderId="16" xfId="117" applyFont="1" applyBorder="1" applyAlignment="1">
      <alignment horizontal="left" wrapText="1"/>
    </xf>
    <xf numFmtId="0" fontId="12" fillId="3" borderId="17" xfId="117" applyFont="1" applyBorder="1" applyAlignment="1">
      <alignment horizontal="left"/>
    </xf>
    <xf numFmtId="0" fontId="12" fillId="3" borderId="19" xfId="117" applyFont="1" applyBorder="1" applyAlignment="1">
      <alignment horizontal="left"/>
    </xf>
    <xf numFmtId="0" fontId="12" fillId="3" borderId="17" xfId="117" applyFont="1" applyBorder="1" applyAlignment="1">
      <alignment horizontal="left" wrapText="1"/>
    </xf>
    <xf numFmtId="0" fontId="12" fillId="3" borderId="19" xfId="117" applyFont="1" applyBorder="1" applyAlignment="1">
      <alignment horizontal="left" wrapText="1"/>
    </xf>
    <xf numFmtId="2" fontId="31" fillId="3" borderId="1" xfId="116" applyNumberFormat="1" applyFont="1" applyAlignment="1">
      <alignment horizontal="center" vertical="center"/>
    </xf>
    <xf numFmtId="2" fontId="11" fillId="3" borderId="16" xfId="116" applyNumberFormat="1" applyFont="1" applyBorder="1" applyAlignment="1">
      <alignment horizontal="center"/>
    </xf>
    <xf numFmtId="49" fontId="11" fillId="3" borderId="1" xfId="116" applyNumberFormat="1" applyFont="1" applyAlignment="1">
      <alignment horizontal="left"/>
    </xf>
    <xf numFmtId="0" fontId="20" fillId="3" borderId="1" xfId="117" applyFont="1" applyAlignment="1">
      <alignment horizontal="center" textRotation="90"/>
    </xf>
    <xf numFmtId="0" fontId="5" fillId="3" borderId="30" xfId="118" applyFont="1" applyBorder="1" applyAlignment="1">
      <alignment horizontal="left" vertical="top"/>
    </xf>
    <xf numFmtId="0" fontId="9" fillId="3" borderId="32" xfId="119" applyNumberFormat="1" applyFont="1" applyFill="1" applyBorder="1" applyAlignment="1" applyProtection="1">
      <alignment horizontal="left" wrapText="1"/>
    </xf>
    <xf numFmtId="0" fontId="9" fillId="3" borderId="31" xfId="117" applyFont="1" applyBorder="1" applyAlignment="1">
      <alignment horizontal="left" wrapText="1"/>
    </xf>
    <xf numFmtId="10" fontId="9" fillId="8" borderId="31" xfId="117" applyNumberFormat="1" applyFont="1" applyFill="1" applyBorder="1" applyAlignment="1" applyProtection="1">
      <alignment horizontal="center"/>
      <protection locked="0"/>
    </xf>
    <xf numFmtId="0" fontId="9" fillId="3" borderId="31" xfId="117" applyFont="1" applyBorder="1" applyAlignment="1">
      <alignment horizontal="left"/>
    </xf>
    <xf numFmtId="0" fontId="7" fillId="3" borderId="30" xfId="117" applyBorder="1" applyAlignment="1">
      <alignment horizontal="center"/>
    </xf>
    <xf numFmtId="0" fontId="5" fillId="3" borderId="32" xfId="117" applyFont="1" applyBorder="1" applyAlignment="1">
      <alignment horizontal="center"/>
    </xf>
    <xf numFmtId="0" fontId="0" fillId="3" borderId="32" xfId="117" applyFont="1" applyBorder="1" applyAlignment="1">
      <alignment horizontal="left" vertical="top" wrapText="1"/>
    </xf>
    <xf numFmtId="0" fontId="5" fillId="3" borderId="31" xfId="117" applyFont="1" applyBorder="1" applyAlignment="1">
      <alignment horizontal="center" vertical="center"/>
    </xf>
    <xf numFmtId="0" fontId="0" fillId="3" borderId="31" xfId="117" applyFont="1" applyBorder="1" applyAlignment="1">
      <alignment horizontal="center" vertical="center" wrapText="1"/>
    </xf>
    <xf numFmtId="4" fontId="22" fillId="3" borderId="31" xfId="117" applyNumberFormat="1" applyFont="1" applyBorder="1" applyAlignment="1">
      <alignment horizontal="center" vertical="center"/>
    </xf>
    <xf numFmtId="0" fontId="18" fillId="3" borderId="31" xfId="117" applyFont="1" applyBorder="1" applyAlignment="1">
      <alignment horizontal="center"/>
    </xf>
    <xf numFmtId="169" fontId="9" fillId="9" borderId="32" xfId="119" applyFont="1" applyFill="1" applyBorder="1" applyAlignment="1" applyProtection="1">
      <alignment horizontal="left"/>
      <protection locked="0"/>
    </xf>
    <xf numFmtId="0" fontId="22" fillId="3" borderId="31" xfId="117" applyFont="1" applyBorder="1" applyAlignment="1">
      <alignment horizontal="center" vertical="center"/>
    </xf>
    <xf numFmtId="4" fontId="22" fillId="3" borderId="31" xfId="117" applyNumberFormat="1" applyFont="1" applyBorder="1" applyAlignment="1">
      <alignment horizontal="center" vertical="center" wrapText="1"/>
    </xf>
    <xf numFmtId="0" fontId="23" fillId="10" borderId="31" xfId="117" applyFont="1" applyFill="1" applyBorder="1" applyAlignment="1">
      <alignment horizontal="center" vertical="center" wrapText="1"/>
    </xf>
    <xf numFmtId="0" fontId="25" fillId="3" borderId="1" xfId="117" applyFont="1" applyAlignment="1">
      <alignment horizontal="left" vertical="center" indent="1"/>
    </xf>
    <xf numFmtId="0" fontId="9" fillId="3" borderId="31" xfId="117" applyFont="1" applyBorder="1" applyAlignment="1">
      <alignment horizontal="left" vertical="center" wrapText="1"/>
    </xf>
    <xf numFmtId="49" fontId="0" fillId="8" borderId="31" xfId="117" applyNumberFormat="1" applyFont="1" applyFill="1" applyBorder="1" applyAlignment="1" applyProtection="1">
      <alignment horizontal="left" vertical="top" wrapText="1"/>
      <protection locked="0"/>
    </xf>
    <xf numFmtId="170" fontId="0" fillId="3" borderId="33" xfId="117" applyNumberFormat="1" applyFont="1" applyBorder="1" applyAlignment="1">
      <alignment horizontal="left"/>
    </xf>
    <xf numFmtId="171" fontId="0" fillId="3" borderId="33" xfId="117" applyNumberFormat="1" applyFont="1" applyBorder="1" applyAlignment="1">
      <alignment horizontal="left"/>
    </xf>
    <xf numFmtId="0" fontId="5" fillId="3" borderId="1" xfId="117" applyFont="1" applyAlignment="1">
      <alignment horizontal="left" vertical="center"/>
    </xf>
    <xf numFmtId="0" fontId="22" fillId="3" borderId="1" xfId="117" applyFont="1" applyAlignment="1">
      <alignment horizontal="left" vertical="center"/>
    </xf>
    <xf numFmtId="0" fontId="0" fillId="3" borderId="1" xfId="117" applyFont="1" applyAlignment="1">
      <alignment horizontal="center" vertical="center"/>
    </xf>
    <xf numFmtId="0" fontId="26" fillId="3" borderId="1" xfId="117" applyFont="1" applyAlignment="1">
      <alignment horizontal="right" vertical="center"/>
    </xf>
    <xf numFmtId="0" fontId="27" fillId="3" borderId="1" xfId="117" applyFont="1" applyAlignment="1">
      <alignment horizontal="center"/>
    </xf>
    <xf numFmtId="0" fontId="26" fillId="3" borderId="1" xfId="117" applyFont="1" applyAlignment="1">
      <alignment horizontal="left" vertical="center"/>
    </xf>
    <xf numFmtId="0" fontId="26" fillId="3" borderId="1" xfId="117" applyFont="1" applyAlignment="1">
      <alignment horizontal="center" vertical="top"/>
    </xf>
    <xf numFmtId="0" fontId="0" fillId="3" borderId="34" xfId="117" applyFont="1" applyBorder="1" applyAlignment="1">
      <alignment horizontal="left" vertical="center"/>
    </xf>
  </cellXfs>
  <cellStyles count="120">
    <cellStyle name="Moeda_Composicao BDI v2.1" xfId="119" xr:uid="{1273C042-5F51-44FE-8740-0C5103582056}"/>
    <cellStyle name="Normal" xfId="0" builtinId="0"/>
    <cellStyle name="Normal 10" xfId="9" xr:uid="{A964BC50-38BF-4878-BFBB-08F349639FD1}"/>
    <cellStyle name="Normal 100" xfId="81" xr:uid="{2B33E339-298E-4ECC-BB72-D1F84C29BBD7}"/>
    <cellStyle name="Normal 101" xfId="66" xr:uid="{A2343810-9BE0-4B04-A36C-C8B084706138}"/>
    <cellStyle name="Normal 102" xfId="75" xr:uid="{B07CFF9F-003C-4FFA-A820-3A8787F43DE9}"/>
    <cellStyle name="Normal 103" xfId="67" xr:uid="{74CCAE14-2FFF-4287-8662-BE95D927467E}"/>
    <cellStyle name="Normal 104" xfId="68" xr:uid="{D855949F-CFBF-404D-B4D0-FDF7CDFB3B51}"/>
    <cellStyle name="Normal 105" xfId="113" xr:uid="{4BF046F9-A79C-48F5-BB3A-BC3CC39A591D}"/>
    <cellStyle name="Normal 106" xfId="80" xr:uid="{850E5202-21D1-4B4A-87A4-8B53A7710024}"/>
    <cellStyle name="Normal 107" xfId="64" xr:uid="{6BE5668A-074B-4CFE-A8FD-926B6F787A61}"/>
    <cellStyle name="Normal 108" xfId="114" xr:uid="{47880476-2C1A-44EB-A233-60AE5F183D8B}"/>
    <cellStyle name="Normal 109" xfId="115" xr:uid="{2D9F5B60-022A-489E-B375-D4C5EEAEA3BD}"/>
    <cellStyle name="Normal 11" xfId="10" xr:uid="{C7A08A19-E5B6-4D97-8164-6C27EFB582C7}"/>
    <cellStyle name="Normal 12" xfId="11" xr:uid="{341EEDEF-5CF2-42F4-A6A5-4655993584CE}"/>
    <cellStyle name="Normal 13" xfId="12" xr:uid="{07D2B8B1-354C-4ED2-B002-514E9F222F54}"/>
    <cellStyle name="Normal 14" xfId="13" xr:uid="{8A8341E6-E605-4B84-9107-0E3A92BD0D94}"/>
    <cellStyle name="Normal 15" xfId="14" xr:uid="{69F03126-FA08-43D0-BEBE-D862F7E857B4}"/>
    <cellStyle name="Normal 16" xfId="15" xr:uid="{61BACC5C-CE0C-4DB8-99FA-6A06E747126E}"/>
    <cellStyle name="Normal 17" xfId="16" xr:uid="{9D9A55F2-A555-4E6A-AAA5-FFCC40EB3BE1}"/>
    <cellStyle name="Normal 18" xfId="17" xr:uid="{BCFBADFD-9017-402F-B054-C9C99B997E90}"/>
    <cellStyle name="Normal 19" xfId="18" xr:uid="{82F7B519-08FE-453E-881A-7C90E04648FB}"/>
    <cellStyle name="Normal 2" xfId="1" xr:uid="{CC0EF7E8-3AE0-475A-959A-F6A404E0F910}"/>
    <cellStyle name="Normal 2 3" xfId="117" xr:uid="{357DC4E8-B986-405F-9B54-68650A3E9328}"/>
    <cellStyle name="Normal 20" xfId="19" xr:uid="{1D99BA76-B3A6-40F1-9531-76DCAF1F58C6}"/>
    <cellStyle name="Normal 21" xfId="20" xr:uid="{D6BAF618-3CE9-4D7C-A7F6-E70F0DD891F9}"/>
    <cellStyle name="Normal 22" xfId="21" xr:uid="{7772B641-D808-4A9B-95CE-D3763B32D10F}"/>
    <cellStyle name="Normal 23" xfId="22" xr:uid="{97C47726-4584-4B46-8DA0-8061616459D1}"/>
    <cellStyle name="Normal 24" xfId="23" xr:uid="{AC636892-D91B-43DD-9F33-562A8F4A518A}"/>
    <cellStyle name="Normal 25" xfId="24" xr:uid="{DD485E9E-17D1-47A6-A137-68E3463DEE50}"/>
    <cellStyle name="Normal 26" xfId="25" xr:uid="{28038BBF-6BC0-4163-8B1D-B96C2D767D44}"/>
    <cellStyle name="Normal 27" xfId="26" xr:uid="{3BB9CCE4-4C2F-45E3-9996-2A977C27C615}"/>
    <cellStyle name="Normal 28" xfId="27" xr:uid="{8A4F937D-848C-4EF8-9319-E498FC196F2C}"/>
    <cellStyle name="Normal 29" xfId="32" xr:uid="{7EDE5CD9-A7AE-4E94-B5B8-A13906048622}"/>
    <cellStyle name="Normal 3" xfId="2" xr:uid="{A26884DC-369B-4457-9A2C-D6D42BD11EFD}"/>
    <cellStyle name="Normal 30" xfId="36" xr:uid="{F6842437-E73B-4310-AFAB-E892E9E461BC}"/>
    <cellStyle name="Normal 31" xfId="37" xr:uid="{DCCFE27A-F56A-486F-B93C-ADCBB93B180C}"/>
    <cellStyle name="Normal 32" xfId="38" xr:uid="{632801DC-7F51-4295-9C67-4B670C32A2DB}"/>
    <cellStyle name="Normal 33" xfId="39" xr:uid="{E20AAD04-1BA5-41A2-9EC3-44FEBE9ED44D}"/>
    <cellStyle name="Normal 34" xfId="40" xr:uid="{9C37968C-0014-419A-AD08-F6BACE56C090}"/>
    <cellStyle name="Normal 35" xfId="41" xr:uid="{A6C8F5ED-27A7-409C-A8AB-DC1F98E29882}"/>
    <cellStyle name="Normal 36" xfId="42" xr:uid="{D56F92F1-D692-4C4D-B5B2-2B477640E8D5}"/>
    <cellStyle name="Normal 37" xfId="43" xr:uid="{93620C8F-48B7-49AE-9C75-BAE3FCBD33FC}"/>
    <cellStyle name="Normal 38" xfId="44" xr:uid="{88D25BA8-0551-434A-A44E-F5C90877A8C1}"/>
    <cellStyle name="Normal 39" xfId="45" xr:uid="{AB8B9498-2C8B-4915-8A2D-67BB8D4C13CD}"/>
    <cellStyle name="Normal 4" xfId="3" xr:uid="{62DB1ECD-9066-40FB-AABE-D1F03B9C1879}"/>
    <cellStyle name="Normal 40" xfId="46" xr:uid="{590AE89C-1A3E-42C3-BF11-1EF5B158B038}"/>
    <cellStyle name="Normal 41" xfId="47" xr:uid="{F3F7150E-F68E-4622-AD49-483FE1A70C03}"/>
    <cellStyle name="Normal 42" xfId="48" xr:uid="{BE23D4DB-03C3-4E46-8E15-984D47897BA6}"/>
    <cellStyle name="Normal 43" xfId="49" xr:uid="{069DB3BD-2D42-4026-8F69-DC94A2C84F7D}"/>
    <cellStyle name="Normal 44" xfId="50" xr:uid="{8166E1FA-1AC8-49AD-A97D-A27A65F2688E}"/>
    <cellStyle name="Normal 45" xfId="51" xr:uid="{9A498481-C186-43F9-85F4-70BA5BDC69AC}"/>
    <cellStyle name="Normal 46" xfId="52" xr:uid="{B161CBA8-3714-4BE6-840F-318B6C7E895A}"/>
    <cellStyle name="Normal 47" xfId="53" xr:uid="{457E67F0-B3F5-40B9-9955-746E8BB96CB5}"/>
    <cellStyle name="Normal 48" xfId="54" xr:uid="{774B5987-8819-4D19-8D52-8CFE6A026FA3}"/>
    <cellStyle name="Normal 49" xfId="55" xr:uid="{3FB3A8F7-3AEE-47ED-AC41-C4F9192D6B39}"/>
    <cellStyle name="Normal 5" xfId="4" xr:uid="{CC23E657-1C07-4348-8250-035ECAB7276E}"/>
    <cellStyle name="Normal 50" xfId="56" xr:uid="{4135F275-1A62-4C7B-92B7-29916D213365}"/>
    <cellStyle name="Normal 51" xfId="57" xr:uid="{97B8AE1F-61FF-453D-B17A-747846263248}"/>
    <cellStyle name="Normal 52" xfId="58" xr:uid="{C2686D70-9FB1-4E7E-ABE6-71C750AFD9DE}"/>
    <cellStyle name="Normal 53" xfId="59" xr:uid="{64E1024D-C4FA-4595-8546-B84A39214938}"/>
    <cellStyle name="Normal 54" xfId="60" xr:uid="{988F8923-0CEC-4E0A-89B9-57A1F245A250}"/>
    <cellStyle name="Normal 55" xfId="61" xr:uid="{94202496-8B59-4476-9DDD-6D8C3FCC2202}"/>
    <cellStyle name="Normal 56" xfId="62" xr:uid="{A2DFF4CE-44B4-47D3-AF96-79ECE260B9EE}"/>
    <cellStyle name="Normal 57" xfId="84" xr:uid="{01590D25-FAA3-4478-B821-44068ACEC31A}"/>
    <cellStyle name="Normal 58" xfId="85" xr:uid="{492946C7-5459-4276-9E20-B5332B6FF479}"/>
    <cellStyle name="Normal 59" xfId="86" xr:uid="{2DF65E99-0A9C-45B9-A607-B7C6D55E78BE}"/>
    <cellStyle name="Normal 6" xfId="5" xr:uid="{65C242CF-139D-471C-A843-66FE33A589B6}"/>
    <cellStyle name="Normal 60" xfId="87" xr:uid="{B5A3820C-2945-4ED6-A188-42A752640545}"/>
    <cellStyle name="Normal 61" xfId="88" xr:uid="{E9DCF6A9-A6FD-4AFC-B477-F8848A954548}"/>
    <cellStyle name="Normal 62" xfId="89" xr:uid="{0C6E40D6-1DC8-41CA-A013-536888AB9AF8}"/>
    <cellStyle name="Normal 63" xfId="90" xr:uid="{AF01C2B9-AD32-4028-8F0E-B951B659D6AB}"/>
    <cellStyle name="Normal 64" xfId="91" xr:uid="{EE0C57D3-839D-4A7B-B17B-0AB7B9530EC6}"/>
    <cellStyle name="Normal 65" xfId="92" xr:uid="{7ED0A438-EB28-407E-8E6A-FDC1F46BC9FC}"/>
    <cellStyle name="Normal 66" xfId="93" xr:uid="{94F9C7BB-2296-4AEE-9EC8-A915C22B189B}"/>
    <cellStyle name="Normal 67" xfId="94" xr:uid="{12F41BF7-8863-4292-A988-42621980CFC6}"/>
    <cellStyle name="Normal 68" xfId="95" xr:uid="{4EFC4418-9BBF-41A3-99E7-01DC66E86669}"/>
    <cellStyle name="Normal 69" xfId="96" xr:uid="{DEFFA297-A313-487B-8A10-F1812174DDB2}"/>
    <cellStyle name="Normal 7" xfId="6" xr:uid="{D2ECAD8A-3DD8-4A64-BB66-B155511535BC}"/>
    <cellStyle name="Normal 70" xfId="97" xr:uid="{63616784-D6FF-4F63-90C5-FA41B12D01AF}"/>
    <cellStyle name="Normal 71" xfId="98" xr:uid="{1FC7C91E-B40E-47FB-8315-FBD795A36D26}"/>
    <cellStyle name="Normal 72" xfId="99" xr:uid="{A1984DAF-A435-4F5A-9991-831B54EFF55E}"/>
    <cellStyle name="Normal 73" xfId="100" xr:uid="{C79F05DF-596C-489E-B1C4-3F293F350913}"/>
    <cellStyle name="Normal 74" xfId="101" xr:uid="{69115369-6978-4ADC-8406-38E161A760A8}"/>
    <cellStyle name="Normal 75" xfId="102" xr:uid="{92C01A10-8246-4283-9C1E-834C503C580C}"/>
    <cellStyle name="Normal 76" xfId="103" xr:uid="{01114EE9-0CB9-4617-B12A-A6D6F21872D7}"/>
    <cellStyle name="Normal 77" xfId="104" xr:uid="{C447FB5D-C3CC-4F7C-8513-6910E3E4A5A6}"/>
    <cellStyle name="Normal 78" xfId="105" xr:uid="{0FDDA472-CABA-4A42-BDCC-873A8A2D5287}"/>
    <cellStyle name="Normal 79" xfId="106" xr:uid="{36322758-EF1E-40B7-B9F1-4CB4BACF4DE9}"/>
    <cellStyle name="Normal 8" xfId="7" xr:uid="{D6EA245B-CD71-4B0E-9D60-9604D868D634}"/>
    <cellStyle name="Normal 80" xfId="107" xr:uid="{88ED2C67-E150-477A-B694-5870A3B7A953}"/>
    <cellStyle name="Normal 81" xfId="108" xr:uid="{71D2DEA3-BB1B-4D6C-A436-AA8912D22121}"/>
    <cellStyle name="Normal 82" xfId="109" xr:uid="{55937867-F52A-43C1-9AE1-569E418ADC7F}"/>
    <cellStyle name="Normal 83" xfId="110" xr:uid="{4110625E-44C5-4CF7-8E97-DB8B6F9F512B}"/>
    <cellStyle name="Normal 84" xfId="112" xr:uid="{2DDD4576-17C3-4F2A-9973-185CEAA01341}"/>
    <cellStyle name="Normal 85" xfId="79" xr:uid="{B43DA724-4FB2-44A3-A381-B3154B4D1B21}"/>
    <cellStyle name="Normal 86" xfId="65" xr:uid="{CF30800B-9318-4C5B-AFC4-20A2413FC56B}"/>
    <cellStyle name="Normal 87" xfId="111" xr:uid="{696AB20C-CA17-4F66-B115-50D9111D9D3F}"/>
    <cellStyle name="Normal 88" xfId="78" xr:uid="{440647DD-BF7D-493F-9EDA-0D1678CA56A6}"/>
    <cellStyle name="Normal 89" xfId="69" xr:uid="{63D58DF9-7E3B-49A6-8EFD-7CD643A081EB}"/>
    <cellStyle name="Normal 9" xfId="8" xr:uid="{B2DF6855-46A7-4DD0-B2E4-C34495DAD19B}"/>
    <cellStyle name="Normal 90" xfId="77" xr:uid="{9DF98554-47DB-4F85-AA81-CF7C822E63FA}"/>
    <cellStyle name="Normal 91" xfId="70" xr:uid="{3F27861C-CB9E-453A-B234-7D55E8B12ADE}"/>
    <cellStyle name="Normal 92" xfId="76" xr:uid="{BA669B86-6CFA-444E-BB6F-73BC5A8178CE}"/>
    <cellStyle name="Normal 93" xfId="71" xr:uid="{1F0435D5-1187-4486-A0EE-6D62C08D3EEA}"/>
    <cellStyle name="Normal 94" xfId="63" xr:uid="{C988F8B7-7673-499E-A40E-17A50CA11B39}"/>
    <cellStyle name="Normal 95" xfId="72" xr:uid="{0B537BDD-EA43-416C-92B2-749014383F4A}"/>
    <cellStyle name="Normal 96" xfId="83" xr:uid="{82F50C7E-928C-460A-913F-818DDDEC1613}"/>
    <cellStyle name="Normal 97" xfId="73" xr:uid="{F46D5D15-938B-4AC5-B840-1E710B89B240}"/>
    <cellStyle name="Normal 98" xfId="82" xr:uid="{6F09BCCE-96A3-4198-A513-E5B8FD8D3C5A}"/>
    <cellStyle name="Normal 99" xfId="74" xr:uid="{691B4846-A9CA-4E68-9BA8-8D7D4CDE7A49}"/>
    <cellStyle name="Normal_FICHA DE VERIFICAÇÃO PRELIMINAR - Plano R" xfId="118" xr:uid="{4AF1D573-9FF2-43C9-A448-C761854FC0D6}"/>
    <cellStyle name="Normal_Plan1" xfId="116" xr:uid="{B3C3FAB2-46BC-4CD6-8146-1B7583DCD5E8}"/>
    <cellStyle name="Porcentagem 2" xfId="31" xr:uid="{0A1E033A-D20B-44A9-8186-2337C6D08E3F}"/>
    <cellStyle name="Vírgula 2" xfId="28" xr:uid="{87715744-A1B7-4019-A158-13A3AAB916AB}"/>
    <cellStyle name="Vírgula 2 2" xfId="30" xr:uid="{65B7FCA2-0EC6-4BF7-8350-68F224C2E554}"/>
    <cellStyle name="Vírgula 2 2 2" xfId="35" xr:uid="{C8BED7EC-5CBD-4647-B574-D8145B84CF6D}"/>
    <cellStyle name="Vírgula 2 3" xfId="33" xr:uid="{F81BADDB-242D-4AEC-9695-433DA0F8F53A}"/>
    <cellStyle name="Vírgula 4" xfId="29" xr:uid="{83F944F9-1ABA-46C4-B1B4-9704739E28C0}"/>
    <cellStyle name="Vírgula 4 2" xfId="34" xr:uid="{377A334D-805B-470E-B691-99494BBA8251}"/>
  </cellStyles>
  <dxfs count="4"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Menu!E6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1050292</xdr:colOff>
      <xdr:row>1</xdr:row>
      <xdr:rowOff>190201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22260F-190D-47BD-947E-C36CF56D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0593" cy="474681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0</xdr:row>
      <xdr:rowOff>0</xdr:rowOff>
    </xdr:from>
    <xdr:to>
      <xdr:col>10</xdr:col>
      <xdr:colOff>1724025</xdr:colOff>
      <xdr:row>2</xdr:row>
      <xdr:rowOff>247650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D4D6D-F982-425E-8C0E-D134947B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4125" y="0"/>
          <a:ext cx="110490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514251-6D2D-4122-829B-32ECEDA5784B}"/>
            </a:ext>
          </a:extLst>
        </xdr:cNvPr>
        <xdr:cNvSpPr>
          <a:spLocks noChangeShapeType="1"/>
        </xdr:cNvSpPr>
      </xdr:nvSpPr>
      <xdr:spPr bwMode="auto">
        <a:xfrm>
          <a:off x="10218420" y="1813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648C7F1-0C37-4C95-822C-B6DEA4DB0C0E}"/>
            </a:ext>
          </a:extLst>
        </xdr:cNvPr>
        <xdr:cNvSpPr>
          <a:spLocks noChangeShapeType="1"/>
        </xdr:cNvSpPr>
      </xdr:nvSpPr>
      <xdr:spPr bwMode="auto">
        <a:xfrm>
          <a:off x="10218420" y="1813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CACC646-8189-4FB5-A24D-4E869CF70C35}"/>
            </a:ext>
          </a:extLst>
        </xdr:cNvPr>
        <xdr:cNvSpPr>
          <a:spLocks noChangeShapeType="1"/>
        </xdr:cNvSpPr>
      </xdr:nvSpPr>
      <xdr:spPr bwMode="auto">
        <a:xfrm flipV="1">
          <a:off x="10218420" y="1813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133350</xdr:colOff>
      <xdr:row>0</xdr:row>
      <xdr:rowOff>47625</xdr:rowOff>
    </xdr:from>
    <xdr:to>
      <xdr:col>2</xdr:col>
      <xdr:colOff>1076325</xdr:colOff>
      <xdr:row>2</xdr:row>
      <xdr:rowOff>45058</xdr:rowOff>
    </xdr:to>
    <xdr:pic>
      <xdr:nvPicPr>
        <xdr:cNvPr id="5" name="Figura 42">
          <a:extLst>
            <a:ext uri="{FF2B5EF4-FFF2-40B4-BE49-F238E27FC236}">
              <a16:creationId xmlns:a16="http://schemas.microsoft.com/office/drawing/2014/main" id="{4103D74A-7D93-4437-9233-B391B45E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461135" cy="5765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472597</xdr:colOff>
      <xdr:row>0</xdr:row>
      <xdr:rowOff>101602</xdr:rowOff>
    </xdr:from>
    <xdr:to>
      <xdr:col>29</xdr:col>
      <xdr:colOff>787400</xdr:colOff>
      <xdr:row>4</xdr:row>
      <xdr:rowOff>32673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E4955B9-0E15-41A1-BA11-A6B18944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81997" y="101602"/>
          <a:ext cx="1110670" cy="10418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15240</xdr:rowOff>
    </xdr:from>
    <xdr:to>
      <xdr:col>11</xdr:col>
      <xdr:colOff>403860</xdr:colOff>
      <xdr:row>2</xdr:row>
      <xdr:rowOff>38100</xdr:rowOff>
    </xdr:to>
    <xdr:pic>
      <xdr:nvPicPr>
        <xdr:cNvPr id="2" name="Logo1">
          <a:extLst>
            <a:ext uri="{FF2B5EF4-FFF2-40B4-BE49-F238E27FC236}">
              <a16:creationId xmlns:a16="http://schemas.microsoft.com/office/drawing/2014/main" id="{371FFC83-F608-454C-8AE5-AC7B2B7E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240"/>
          <a:ext cx="183642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287020</xdr:colOff>
      <xdr:row>1</xdr:row>
      <xdr:rowOff>30903</xdr:rowOff>
    </xdr:from>
    <xdr:to>
      <xdr:col>8</xdr:col>
      <xdr:colOff>138854</xdr:colOff>
      <xdr:row>3</xdr:row>
      <xdr:rowOff>8555</xdr:rowOff>
    </xdr:to>
    <xdr:sp macro="" textlink="" fLocksText="0">
      <xdr:nvSpPr>
        <xdr:cNvPr id="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EB12D0-65A3-44F7-967F-022C5D7761C4}"/>
            </a:ext>
          </a:extLst>
        </xdr:cNvPr>
        <xdr:cNvSpPr>
          <a:spLocks noChangeArrowheads="1"/>
        </xdr:cNvSpPr>
      </xdr:nvSpPr>
      <xdr:spPr bwMode="auto">
        <a:xfrm>
          <a:off x="287020" y="229023"/>
          <a:ext cx="583354" cy="328172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287019</xdr:colOff>
      <xdr:row>3</xdr:row>
      <xdr:rowOff>57150</xdr:rowOff>
    </xdr:from>
    <xdr:to>
      <xdr:col>8</xdr:col>
      <xdr:colOff>138853</xdr:colOff>
      <xdr:row>5</xdr:row>
      <xdr:rowOff>42333</xdr:rowOff>
    </xdr:to>
    <xdr:sp macro="" textlink="" fLocksText="0">
      <xdr:nvSpPr>
        <xdr:cNvPr id="4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388DC9-9EEB-43AE-9CCE-6D809A2F6467}"/>
            </a:ext>
          </a:extLst>
        </xdr:cNvPr>
        <xdr:cNvSpPr>
          <a:spLocks noChangeArrowheads="1"/>
        </xdr:cNvSpPr>
      </xdr:nvSpPr>
      <xdr:spPr bwMode="auto">
        <a:xfrm>
          <a:off x="287019" y="605790"/>
          <a:ext cx="583354" cy="32046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feitura/creche%20tipo%202%20pac/planilha-multipla-v-3.06/PM%203.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v3.0.6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FGTS</v>
          </cell>
          <cell r="J4" t="str">
            <v>Equipamentos comunitários</v>
          </cell>
        </row>
        <row r="5">
          <cell r="F5" t="str">
            <v>Prefeitura De São João Das Missões - MG</v>
          </cell>
          <cell r="J5" t="str">
            <v>Pavimentação</v>
          </cell>
        </row>
        <row r="6">
          <cell r="F6" t="str">
            <v>São João Das Missões - MG</v>
          </cell>
          <cell r="J6" t="str">
            <v xml:space="preserve">Drenagem </v>
          </cell>
        </row>
        <row r="7">
          <cell r="J7" t="str">
            <v>Abastecimento de água</v>
          </cell>
        </row>
        <row r="8">
          <cell r="F8" t="str">
            <v>961912 /2024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Escola com 13 salas - opção 110V</v>
          </cell>
          <cell r="J16" t="str">
            <v>Instrumentos e ações em planejamento e gestão pública</v>
          </cell>
        </row>
        <row r="17">
          <cell r="F17" t="str">
            <v>Construção de uma Escola com 13 salas - opção 110V</v>
          </cell>
          <cell r="J17" t="str">
            <v>Ações complementares às obras</v>
          </cell>
        </row>
        <row r="18">
          <cell r="F18" t="str">
            <v>NÃO 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Gerrard Tayon Ferreira Lopo</v>
          </cell>
        </row>
        <row r="23">
          <cell r="F23" t="str">
            <v>289963 MG</v>
          </cell>
        </row>
        <row r="25">
          <cell r="F25">
            <v>45691</v>
          </cell>
        </row>
        <row r="31">
          <cell r="F31" t="str">
            <v>TransfereGOV</v>
          </cell>
        </row>
        <row r="51">
          <cell r="F51" t="str">
            <v>Gerrad Tayon Ferreira Lopo</v>
          </cell>
        </row>
        <row r="52">
          <cell r="F52" t="str">
            <v xml:space="preserve">Engenheiro Civil </v>
          </cell>
        </row>
        <row r="53">
          <cell r="F53" t="str">
            <v>289963 MG</v>
          </cell>
        </row>
      </sheetData>
      <sheetData sheetId="2" refreshError="1"/>
      <sheetData sheetId="3" refreshError="1"/>
      <sheetData sheetId="4">
        <row r="8">
          <cell r="F8" t="str">
            <v>'[Referência 03-2024.xlsm]Banco'!$a5:$a$65536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8B98-F3EC-4E08-ADE3-81541E5A73E0}">
  <sheetPr>
    <pageSetUpPr fitToPage="1"/>
  </sheetPr>
  <dimension ref="A1:L758"/>
  <sheetViews>
    <sheetView showGridLines="0" tabSelected="1" topLeftCell="A747" zoomScale="80" zoomScaleNormal="80" workbookViewId="0">
      <selection activeCell="D754" sqref="D754"/>
    </sheetView>
  </sheetViews>
  <sheetFormatPr defaultRowHeight="13.8"/>
  <cols>
    <col min="2" max="2" width="6.69921875" customWidth="1"/>
    <col min="3" max="3" width="9.3984375" customWidth="1"/>
    <col min="4" max="4" width="72.69921875" customWidth="1"/>
    <col min="7" max="7" width="12.8984375" customWidth="1"/>
    <col min="8" max="9" width="12" customWidth="1"/>
    <col min="10" max="11" width="23" customWidth="1"/>
    <col min="12" max="12" width="15.3984375" customWidth="1"/>
  </cols>
  <sheetData>
    <row r="1" spans="2:11" ht="21" customHeight="1">
      <c r="B1" s="112" t="s">
        <v>1863</v>
      </c>
      <c r="C1" s="113"/>
      <c r="D1" s="155" t="s">
        <v>2467</v>
      </c>
      <c r="E1" s="156"/>
      <c r="F1" s="156"/>
      <c r="G1" s="156"/>
      <c r="H1" s="156"/>
      <c r="I1" s="156"/>
      <c r="J1" s="156"/>
      <c r="K1" s="157"/>
    </row>
    <row r="2" spans="2:11" ht="21">
      <c r="B2" s="114"/>
      <c r="C2" s="115"/>
      <c r="D2" s="158"/>
      <c r="E2" s="159"/>
      <c r="F2" s="159"/>
      <c r="G2" s="159"/>
      <c r="H2" s="159"/>
      <c r="I2" s="159"/>
      <c r="J2" s="159"/>
      <c r="K2" s="160"/>
    </row>
    <row r="3" spans="2:11" ht="21.6" thickBot="1">
      <c r="B3" s="116"/>
      <c r="C3" s="117"/>
      <c r="D3" s="161"/>
      <c r="E3" s="162"/>
      <c r="F3" s="162"/>
      <c r="G3" s="162"/>
      <c r="H3" s="162"/>
      <c r="I3" s="162"/>
      <c r="J3" s="162"/>
      <c r="K3" s="163"/>
    </row>
    <row r="4" spans="2:11">
      <c r="B4" s="1"/>
      <c r="C4" s="2"/>
      <c r="D4" s="118"/>
      <c r="E4" s="108"/>
      <c r="F4" s="108"/>
      <c r="G4" s="111"/>
      <c r="H4" s="111"/>
      <c r="I4" s="111"/>
      <c r="J4" s="108"/>
      <c r="K4" s="3"/>
    </row>
    <row r="5" spans="2:11">
      <c r="B5" s="4" t="s">
        <v>1870</v>
      </c>
      <c r="C5" s="5"/>
      <c r="D5" s="5"/>
      <c r="E5" s="6"/>
      <c r="F5" s="7"/>
      <c r="G5" s="8"/>
      <c r="H5" s="9" t="s">
        <v>1864</v>
      </c>
      <c r="I5" s="9"/>
      <c r="J5" s="109">
        <f ca="1">BDI!S30</f>
        <v>0.25</v>
      </c>
      <c r="K5" s="123"/>
    </row>
    <row r="6" spans="2:11" ht="14.4" thickBot="1">
      <c r="B6" s="4" t="s">
        <v>1873</v>
      </c>
      <c r="C6" s="5"/>
      <c r="D6" s="5"/>
      <c r="E6" s="6"/>
      <c r="F6" s="7"/>
      <c r="G6" s="8"/>
      <c r="H6" s="9"/>
      <c r="I6" s="9"/>
      <c r="J6" s="110"/>
      <c r="K6" s="10"/>
    </row>
    <row r="7" spans="2:11" ht="14.4" thickBot="1">
      <c r="B7" s="35" t="s">
        <v>1872</v>
      </c>
      <c r="C7" s="5"/>
      <c r="D7" s="5"/>
      <c r="E7" s="6"/>
      <c r="F7" s="7"/>
      <c r="G7" s="150" t="s">
        <v>1865</v>
      </c>
      <c r="H7" s="151"/>
      <c r="I7" s="151"/>
      <c r="J7" s="152"/>
      <c r="K7" s="122"/>
    </row>
    <row r="8" spans="2:11">
      <c r="B8" s="4"/>
      <c r="C8" s="5"/>
      <c r="D8" s="5"/>
      <c r="E8" s="6"/>
      <c r="F8" s="11"/>
      <c r="G8" s="12" t="s">
        <v>14</v>
      </c>
      <c r="H8" s="13" t="s">
        <v>1866</v>
      </c>
      <c r="I8" s="13"/>
      <c r="J8" s="14" t="s">
        <v>1867</v>
      </c>
      <c r="K8" s="119"/>
    </row>
    <row r="9" spans="2:11">
      <c r="B9" s="4"/>
      <c r="C9" s="15"/>
      <c r="D9" s="15"/>
      <c r="E9" s="15"/>
      <c r="F9" s="15"/>
      <c r="G9" s="16" t="s">
        <v>1868</v>
      </c>
      <c r="H9" s="17">
        <v>193</v>
      </c>
      <c r="I9" s="17"/>
      <c r="J9" s="18" t="s">
        <v>1867</v>
      </c>
      <c r="K9" s="119"/>
    </row>
    <row r="10" spans="2:11" ht="14.4" thickBot="1">
      <c r="B10" s="4"/>
      <c r="C10" s="15"/>
      <c r="D10" s="15"/>
      <c r="E10" s="15"/>
      <c r="F10" s="15"/>
      <c r="G10" s="19" t="s">
        <v>26</v>
      </c>
      <c r="H10" s="20" t="s">
        <v>26</v>
      </c>
      <c r="I10" s="20"/>
      <c r="J10" s="21"/>
      <c r="K10" s="120"/>
    </row>
    <row r="11" spans="2:11" ht="15.6" customHeight="1" thickBot="1">
      <c r="B11" s="22"/>
      <c r="C11" s="23"/>
      <c r="D11" s="23"/>
      <c r="E11" s="24"/>
      <c r="F11" s="25"/>
      <c r="G11" s="26"/>
      <c r="H11" s="27"/>
      <c r="I11" s="27"/>
      <c r="J11" s="28"/>
      <c r="K11" s="121"/>
    </row>
    <row r="12" spans="2:11" ht="15.6" customHeight="1">
      <c r="B12" s="29"/>
      <c r="C12" s="29"/>
      <c r="D12" s="29"/>
      <c r="E12" s="30" t="s">
        <v>1869</v>
      </c>
      <c r="F12" s="29"/>
      <c r="G12" s="31"/>
      <c r="H12" s="32"/>
      <c r="I12" s="32"/>
      <c r="J12" s="33"/>
      <c r="K12" s="124"/>
    </row>
    <row r="13" spans="2:11" ht="5.4" customHeight="1">
      <c r="B13" s="34"/>
      <c r="C13" s="166" t="s">
        <v>0</v>
      </c>
      <c r="D13" s="166"/>
      <c r="E13" s="166"/>
      <c r="F13" s="166"/>
      <c r="G13" s="166"/>
      <c r="H13" s="166"/>
      <c r="I13" s="107"/>
      <c r="J13" s="34"/>
      <c r="K13" s="34"/>
    </row>
    <row r="14" spans="2:11" ht="30.6">
      <c r="B14" s="128" t="s">
        <v>1</v>
      </c>
      <c r="C14" s="128" t="s">
        <v>2</v>
      </c>
      <c r="D14" s="128" t="s">
        <v>3</v>
      </c>
      <c r="E14" s="128" t="s">
        <v>4</v>
      </c>
      <c r="F14" s="128" t="s">
        <v>5</v>
      </c>
      <c r="G14" s="128" t="s">
        <v>6</v>
      </c>
      <c r="H14" s="128" t="s">
        <v>7</v>
      </c>
      <c r="I14" s="128" t="s">
        <v>1973</v>
      </c>
      <c r="J14" s="129" t="s">
        <v>8</v>
      </c>
      <c r="K14" s="130" t="s">
        <v>1974</v>
      </c>
    </row>
    <row r="15" spans="2:11">
      <c r="B15" s="131" t="s">
        <v>9</v>
      </c>
      <c r="C15" s="154" t="s">
        <v>10</v>
      </c>
      <c r="D15" s="154"/>
      <c r="E15" s="154"/>
      <c r="F15" s="154"/>
      <c r="G15" s="154"/>
      <c r="H15" s="154"/>
      <c r="I15" s="131"/>
      <c r="J15" s="132">
        <v>756594.56039999996</v>
      </c>
      <c r="K15" s="133">
        <f ca="1">SUM(K16:K25)</f>
        <v>944010.47000000009</v>
      </c>
    </row>
    <row r="16" spans="2:11" ht="25.2" customHeight="1">
      <c r="B16" s="134" t="s">
        <v>11</v>
      </c>
      <c r="C16" s="135" t="s">
        <v>12</v>
      </c>
      <c r="D16" s="136" t="s">
        <v>13</v>
      </c>
      <c r="E16" s="135" t="s">
        <v>14</v>
      </c>
      <c r="F16" s="135" t="s">
        <v>15</v>
      </c>
      <c r="G16" s="137">
        <v>6.48</v>
      </c>
      <c r="H16" s="138">
        <v>307</v>
      </c>
      <c r="I16" s="138">
        <f ca="1">(H16*J$5)+H16</f>
        <v>383.75</v>
      </c>
      <c r="J16" s="139">
        <v>1995.1271999999999</v>
      </c>
      <c r="K16" s="140">
        <f ca="1">I16*G16</f>
        <v>2486.7000000000003</v>
      </c>
    </row>
    <row r="17" spans="2:11">
      <c r="B17" s="134" t="s">
        <v>16</v>
      </c>
      <c r="C17" s="135" t="s">
        <v>17</v>
      </c>
      <c r="D17" s="136" t="s">
        <v>18</v>
      </c>
      <c r="E17" s="135" t="s">
        <v>14</v>
      </c>
      <c r="F17" s="135" t="s">
        <v>15</v>
      </c>
      <c r="G17" s="137">
        <v>726</v>
      </c>
      <c r="H17" s="138">
        <v>77.260000000000005</v>
      </c>
      <c r="I17" s="138">
        <f ca="1">(H17*J$5)+H17</f>
        <v>96.575000000000003</v>
      </c>
      <c r="J17" s="139">
        <v>56664.3</v>
      </c>
      <c r="K17" s="140">
        <v>70117.08</v>
      </c>
    </row>
    <row r="18" spans="2:11" ht="28.2" customHeight="1">
      <c r="B18" s="134" t="s">
        <v>19</v>
      </c>
      <c r="C18" s="135" t="s">
        <v>20</v>
      </c>
      <c r="D18" s="136" t="s">
        <v>21</v>
      </c>
      <c r="E18" s="135" t="s">
        <v>14</v>
      </c>
      <c r="F18" s="135" t="s">
        <v>22</v>
      </c>
      <c r="G18" s="137">
        <v>1</v>
      </c>
      <c r="H18" s="138">
        <v>1807.57</v>
      </c>
      <c r="I18" s="138">
        <f t="shared" ref="I18:I25" ca="1" si="0">(H18*J$5)+H18</f>
        <v>2259.4625000000001</v>
      </c>
      <c r="J18" s="139">
        <v>1818.98</v>
      </c>
      <c r="K18" s="140">
        <f t="shared" ref="K18:K24" ca="1" si="1">I18*G18</f>
        <v>2259.4625000000001</v>
      </c>
    </row>
    <row r="19" spans="2:11">
      <c r="B19" s="134" t="s">
        <v>23</v>
      </c>
      <c r="C19" s="135" t="s">
        <v>24</v>
      </c>
      <c r="D19" s="136" t="s">
        <v>25</v>
      </c>
      <c r="E19" s="135" t="s">
        <v>26</v>
      </c>
      <c r="F19" s="135" t="s">
        <v>22</v>
      </c>
      <c r="G19" s="137">
        <v>1</v>
      </c>
      <c r="H19" s="138">
        <v>2898.27</v>
      </c>
      <c r="I19" s="138">
        <f t="shared" ca="1" si="0"/>
        <v>3622.8375000000001</v>
      </c>
      <c r="J19" s="139">
        <v>2898.27</v>
      </c>
      <c r="K19" s="140">
        <f t="shared" ca="1" si="1"/>
        <v>3622.8375000000001</v>
      </c>
    </row>
    <row r="20" spans="2:11" ht="25.2" customHeight="1">
      <c r="B20" s="134" t="s">
        <v>27</v>
      </c>
      <c r="C20" s="135" t="s">
        <v>28</v>
      </c>
      <c r="D20" s="136" t="s">
        <v>29</v>
      </c>
      <c r="E20" s="135" t="s">
        <v>14</v>
      </c>
      <c r="F20" s="135" t="s">
        <v>30</v>
      </c>
      <c r="G20" s="137">
        <v>911.48</v>
      </c>
      <c r="H20" s="138">
        <v>69.459999999999994</v>
      </c>
      <c r="I20" s="138">
        <f t="shared" ca="1" si="0"/>
        <v>86.824999999999989</v>
      </c>
      <c r="J20" s="139">
        <v>64113.503199999999</v>
      </c>
      <c r="K20" s="140">
        <v>79143.81</v>
      </c>
    </row>
    <row r="21" spans="2:11" ht="25.2" customHeight="1">
      <c r="B21" s="134" t="s">
        <v>31</v>
      </c>
      <c r="C21" s="135" t="s">
        <v>32</v>
      </c>
      <c r="D21" s="136" t="s">
        <v>33</v>
      </c>
      <c r="E21" s="135" t="s">
        <v>14</v>
      </c>
      <c r="F21" s="135" t="s">
        <v>15</v>
      </c>
      <c r="G21" s="137">
        <v>6800</v>
      </c>
      <c r="H21" s="138">
        <v>0.64</v>
      </c>
      <c r="I21" s="138">
        <f t="shared" ca="1" si="0"/>
        <v>0.8</v>
      </c>
      <c r="J21" s="139">
        <v>4352</v>
      </c>
      <c r="K21" s="140">
        <f t="shared" ca="1" si="1"/>
        <v>5440</v>
      </c>
    </row>
    <row r="22" spans="2:11">
      <c r="B22" s="134" t="s">
        <v>34</v>
      </c>
      <c r="C22" s="135" t="s">
        <v>35</v>
      </c>
      <c r="D22" s="136" t="s">
        <v>36</v>
      </c>
      <c r="E22" s="135" t="s">
        <v>26</v>
      </c>
      <c r="F22" s="135" t="s">
        <v>22</v>
      </c>
      <c r="G22" s="137">
        <v>1</v>
      </c>
      <c r="H22" s="138">
        <v>582527.12</v>
      </c>
      <c r="I22" s="138">
        <f t="shared" ca="1" si="0"/>
        <v>728158.9</v>
      </c>
      <c r="J22" s="139">
        <v>582527.12</v>
      </c>
      <c r="K22" s="140">
        <v>728158.9</v>
      </c>
    </row>
    <row r="23" spans="2:11" ht="28.2" customHeight="1">
      <c r="B23" s="134" t="s">
        <v>37</v>
      </c>
      <c r="C23" s="135" t="s">
        <v>38</v>
      </c>
      <c r="D23" s="136" t="s">
        <v>39</v>
      </c>
      <c r="E23" s="135" t="s">
        <v>26</v>
      </c>
      <c r="F23" s="135" t="s">
        <v>40</v>
      </c>
      <c r="G23" s="137">
        <v>14</v>
      </c>
      <c r="H23" s="138">
        <v>777.34</v>
      </c>
      <c r="I23" s="138">
        <f t="shared" ca="1" si="0"/>
        <v>971.67500000000007</v>
      </c>
      <c r="J23" s="139">
        <v>10882.76</v>
      </c>
      <c r="K23" s="140">
        <v>13603.52</v>
      </c>
    </row>
    <row r="24" spans="2:11" ht="31.8" customHeight="1">
      <c r="B24" s="134" t="s">
        <v>41</v>
      </c>
      <c r="C24" s="135" t="s">
        <v>42</v>
      </c>
      <c r="D24" s="136" t="s">
        <v>43</v>
      </c>
      <c r="E24" s="135" t="s">
        <v>26</v>
      </c>
      <c r="F24" s="135" t="s">
        <v>40</v>
      </c>
      <c r="G24" s="137">
        <v>14</v>
      </c>
      <c r="H24" s="138">
        <v>995</v>
      </c>
      <c r="I24" s="138">
        <f t="shared" ca="1" si="0"/>
        <v>1243.75</v>
      </c>
      <c r="J24" s="139">
        <v>13930</v>
      </c>
      <c r="K24" s="140">
        <f t="shared" ca="1" si="1"/>
        <v>17412.5</v>
      </c>
    </row>
    <row r="25" spans="2:11" ht="27" customHeight="1">
      <c r="B25" s="134" t="s">
        <v>44</v>
      </c>
      <c r="C25" s="135" t="s">
        <v>45</v>
      </c>
      <c r="D25" s="136" t="s">
        <v>46</v>
      </c>
      <c r="E25" s="135" t="s">
        <v>26</v>
      </c>
      <c r="F25" s="135" t="s">
        <v>40</v>
      </c>
      <c r="G25" s="137">
        <v>14</v>
      </c>
      <c r="H25" s="138">
        <v>1243.75</v>
      </c>
      <c r="I25" s="138">
        <f t="shared" ca="1" si="0"/>
        <v>1554.6875</v>
      </c>
      <c r="J25" s="139">
        <v>17412.5</v>
      </c>
      <c r="K25" s="140">
        <v>21765.66</v>
      </c>
    </row>
    <row r="26" spans="2:11">
      <c r="B26" s="131" t="s">
        <v>47</v>
      </c>
      <c r="C26" s="154" t="s">
        <v>48</v>
      </c>
      <c r="D26" s="154"/>
      <c r="E26" s="154"/>
      <c r="F26" s="154"/>
      <c r="G26" s="154"/>
      <c r="H26" s="154"/>
      <c r="I26" s="131"/>
      <c r="J26" s="132">
        <v>80316.737999999998</v>
      </c>
      <c r="K26" s="133">
        <f ca="1">SUM(K38,K33,K27,K42)</f>
        <v>99530.45749999999</v>
      </c>
    </row>
    <row r="27" spans="2:11">
      <c r="B27" s="131" t="s">
        <v>49</v>
      </c>
      <c r="C27" s="154" t="s">
        <v>50</v>
      </c>
      <c r="D27" s="154"/>
      <c r="E27" s="154"/>
      <c r="F27" s="154"/>
      <c r="G27" s="154"/>
      <c r="H27" s="154"/>
      <c r="I27" s="131"/>
      <c r="J27" s="132">
        <v>68461.4761</v>
      </c>
      <c r="K27" s="133">
        <f ca="1">SUM(K28:K32)</f>
        <v>84876.977499999994</v>
      </c>
    </row>
    <row r="28" spans="2:11" ht="31.2" customHeight="1">
      <c r="B28" s="134" t="s">
        <v>51</v>
      </c>
      <c r="C28" s="135" t="s">
        <v>52</v>
      </c>
      <c r="D28" s="136" t="s">
        <v>53</v>
      </c>
      <c r="E28" s="135" t="s">
        <v>14</v>
      </c>
      <c r="F28" s="135" t="s">
        <v>54</v>
      </c>
      <c r="G28" s="137">
        <v>328.06</v>
      </c>
      <c r="H28" s="138">
        <v>41.02</v>
      </c>
      <c r="I28" s="138">
        <f t="shared" ref="I28:I47" ca="1" si="2">(H28*J$5)+H28</f>
        <v>51.275000000000006</v>
      </c>
      <c r="J28" s="139">
        <v>13598.087</v>
      </c>
      <c r="K28" s="140">
        <v>16822.919999999998</v>
      </c>
    </row>
    <row r="29" spans="2:11" ht="36.6" customHeight="1">
      <c r="B29" s="134" t="s">
        <v>55</v>
      </c>
      <c r="C29" s="135" t="s">
        <v>56</v>
      </c>
      <c r="D29" s="136" t="s">
        <v>57</v>
      </c>
      <c r="E29" s="135" t="s">
        <v>14</v>
      </c>
      <c r="F29" s="135" t="s">
        <v>54</v>
      </c>
      <c r="G29" s="137">
        <v>298.70999999999998</v>
      </c>
      <c r="H29" s="138">
        <v>63.86</v>
      </c>
      <c r="I29" s="138">
        <f t="shared" ca="1" si="2"/>
        <v>79.825000000000003</v>
      </c>
      <c r="J29" s="139">
        <v>19075.620599999998</v>
      </c>
      <c r="K29" s="140">
        <v>23846.02</v>
      </c>
    </row>
    <row r="30" spans="2:11" ht="27.6" customHeight="1">
      <c r="B30" s="134" t="s">
        <v>58</v>
      </c>
      <c r="C30" s="135" t="s">
        <v>59</v>
      </c>
      <c r="D30" s="136" t="s">
        <v>60</v>
      </c>
      <c r="E30" s="135" t="s">
        <v>14</v>
      </c>
      <c r="F30" s="135" t="s">
        <v>54</v>
      </c>
      <c r="G30" s="137">
        <v>433.13</v>
      </c>
      <c r="H30" s="138">
        <v>57.4</v>
      </c>
      <c r="I30" s="138">
        <f t="shared" ca="1" si="2"/>
        <v>71.75</v>
      </c>
      <c r="J30" s="139">
        <v>25121.54</v>
      </c>
      <c r="K30" s="140">
        <f t="shared" ref="K30:K45" ca="1" si="3">I30*G30</f>
        <v>31077.077499999999</v>
      </c>
    </row>
    <row r="31" spans="2:11" ht="24" customHeight="1">
      <c r="B31" s="134" t="s">
        <v>61</v>
      </c>
      <c r="C31" s="135" t="s">
        <v>62</v>
      </c>
      <c r="D31" s="136" t="s">
        <v>63</v>
      </c>
      <c r="E31" s="135" t="s">
        <v>14</v>
      </c>
      <c r="F31" s="135" t="s">
        <v>15</v>
      </c>
      <c r="G31" s="137">
        <v>432.57</v>
      </c>
      <c r="H31" s="138">
        <v>2.99</v>
      </c>
      <c r="I31" s="138">
        <f t="shared" ca="1" si="2"/>
        <v>3.7375000000000003</v>
      </c>
      <c r="J31" s="139">
        <v>1319.3385000000001</v>
      </c>
      <c r="K31" s="140">
        <v>1617.81</v>
      </c>
    </row>
    <row r="32" spans="2:11" ht="42.6" customHeight="1">
      <c r="B32" s="134" t="s">
        <v>64</v>
      </c>
      <c r="C32" s="135" t="s">
        <v>65</v>
      </c>
      <c r="D32" s="136" t="s">
        <v>66</v>
      </c>
      <c r="E32" s="135" t="s">
        <v>14</v>
      </c>
      <c r="F32" s="135" t="s">
        <v>54</v>
      </c>
      <c r="G32" s="137">
        <v>710.25</v>
      </c>
      <c r="H32" s="138">
        <v>12.97</v>
      </c>
      <c r="I32" s="138">
        <f t="shared" ca="1" si="2"/>
        <v>16.212500000000002</v>
      </c>
      <c r="J32" s="139">
        <v>9346.89</v>
      </c>
      <c r="K32" s="140">
        <v>11513.15</v>
      </c>
    </row>
    <row r="33" spans="2:11">
      <c r="B33" s="131" t="s">
        <v>67</v>
      </c>
      <c r="C33" s="154" t="s">
        <v>68</v>
      </c>
      <c r="D33" s="154"/>
      <c r="E33" s="154"/>
      <c r="F33" s="154"/>
      <c r="G33" s="154"/>
      <c r="H33" s="154"/>
      <c r="I33" s="131"/>
      <c r="J33" s="132">
        <v>1229.3921</v>
      </c>
      <c r="K33" s="133">
        <f ca="1">SUM(K34:K37)</f>
        <v>1519.4524999999999</v>
      </c>
    </row>
    <row r="34" spans="2:11" ht="20.399999999999999">
      <c r="B34" s="134" t="s">
        <v>69</v>
      </c>
      <c r="C34" s="135" t="s">
        <v>52</v>
      </c>
      <c r="D34" s="136" t="s">
        <v>53</v>
      </c>
      <c r="E34" s="135" t="s">
        <v>14</v>
      </c>
      <c r="F34" s="135" t="s">
        <v>54</v>
      </c>
      <c r="G34" s="137">
        <v>8.7100000000000009</v>
      </c>
      <c r="H34" s="138">
        <v>41.02</v>
      </c>
      <c r="I34" s="138">
        <f t="shared" ca="1" si="2"/>
        <v>51.275000000000006</v>
      </c>
      <c r="J34" s="139">
        <v>361.02949999999998</v>
      </c>
      <c r="K34" s="140">
        <v>446.65</v>
      </c>
    </row>
    <row r="35" spans="2:11" ht="20.399999999999999">
      <c r="B35" s="134" t="s">
        <v>70</v>
      </c>
      <c r="C35" s="135" t="s">
        <v>59</v>
      </c>
      <c r="D35" s="136" t="s">
        <v>60</v>
      </c>
      <c r="E35" s="135" t="s">
        <v>14</v>
      </c>
      <c r="F35" s="135" t="s">
        <v>54</v>
      </c>
      <c r="G35" s="137">
        <v>11.47</v>
      </c>
      <c r="H35" s="138">
        <v>57.4</v>
      </c>
      <c r="I35" s="138">
        <f t="shared" ca="1" si="2"/>
        <v>71.75</v>
      </c>
      <c r="J35" s="139">
        <v>665.26</v>
      </c>
      <c r="K35" s="140">
        <f t="shared" ca="1" si="3"/>
        <v>822.97250000000008</v>
      </c>
    </row>
    <row r="36" spans="2:11" ht="20.399999999999999">
      <c r="B36" s="134" t="s">
        <v>71</v>
      </c>
      <c r="C36" s="135" t="s">
        <v>62</v>
      </c>
      <c r="D36" s="136" t="s">
        <v>63</v>
      </c>
      <c r="E36" s="135" t="s">
        <v>14</v>
      </c>
      <c r="F36" s="135" t="s">
        <v>15</v>
      </c>
      <c r="G36" s="137">
        <v>20.38</v>
      </c>
      <c r="H36" s="138">
        <v>2.99</v>
      </c>
      <c r="I36" s="138">
        <f t="shared" ca="1" si="2"/>
        <v>3.7375000000000003</v>
      </c>
      <c r="J36" s="139">
        <v>62.158999999999999</v>
      </c>
      <c r="K36" s="140">
        <v>76.22</v>
      </c>
    </row>
    <row r="37" spans="2:11" ht="33.6" customHeight="1">
      <c r="B37" s="134" t="s">
        <v>72</v>
      </c>
      <c r="C37" s="135" t="s">
        <v>65</v>
      </c>
      <c r="D37" s="136" t="s">
        <v>66</v>
      </c>
      <c r="E37" s="135" t="s">
        <v>14</v>
      </c>
      <c r="F37" s="135" t="s">
        <v>54</v>
      </c>
      <c r="G37" s="137">
        <v>10.71</v>
      </c>
      <c r="H37" s="138">
        <v>12.97</v>
      </c>
      <c r="I37" s="138">
        <f t="shared" ca="1" si="2"/>
        <v>16.212500000000002</v>
      </c>
      <c r="J37" s="139">
        <v>140.9436</v>
      </c>
      <c r="K37" s="140">
        <v>173.61</v>
      </c>
    </row>
    <row r="38" spans="2:11">
      <c r="B38" s="131" t="s">
        <v>73</v>
      </c>
      <c r="C38" s="154" t="s">
        <v>74</v>
      </c>
      <c r="D38" s="154"/>
      <c r="E38" s="154"/>
      <c r="F38" s="154"/>
      <c r="G38" s="154"/>
      <c r="H38" s="154"/>
      <c r="I38" s="131"/>
      <c r="J38" s="132">
        <v>3994.9085</v>
      </c>
      <c r="K38" s="133">
        <f>SUM(K39:K41)</f>
        <v>4937.62</v>
      </c>
    </row>
    <row r="39" spans="2:11" ht="28.2" customHeight="1">
      <c r="B39" s="134" t="s">
        <v>75</v>
      </c>
      <c r="C39" s="135" t="s">
        <v>52</v>
      </c>
      <c r="D39" s="136" t="s">
        <v>53</v>
      </c>
      <c r="E39" s="135" t="s">
        <v>14</v>
      </c>
      <c r="F39" s="135" t="s">
        <v>54</v>
      </c>
      <c r="G39" s="137">
        <v>79.62</v>
      </c>
      <c r="H39" s="138">
        <v>41.02</v>
      </c>
      <c r="I39" s="138">
        <f t="shared" ca="1" si="2"/>
        <v>51.275000000000006</v>
      </c>
      <c r="J39" s="139">
        <v>3300.2489999999998</v>
      </c>
      <c r="K39" s="140">
        <v>4082.91</v>
      </c>
    </row>
    <row r="40" spans="2:11" ht="25.8" customHeight="1">
      <c r="B40" s="134" t="s">
        <v>76</v>
      </c>
      <c r="C40" s="135" t="s">
        <v>62</v>
      </c>
      <c r="D40" s="136" t="s">
        <v>63</v>
      </c>
      <c r="E40" s="135" t="s">
        <v>14</v>
      </c>
      <c r="F40" s="135" t="s">
        <v>15</v>
      </c>
      <c r="G40" s="137">
        <v>56.03</v>
      </c>
      <c r="H40" s="138">
        <v>2.99</v>
      </c>
      <c r="I40" s="138">
        <f t="shared" ca="1" si="2"/>
        <v>3.7375000000000003</v>
      </c>
      <c r="J40" s="139">
        <v>170.89150000000001</v>
      </c>
      <c r="K40" s="140">
        <v>209.55</v>
      </c>
    </row>
    <row r="41" spans="2:11" ht="39" customHeight="1">
      <c r="B41" s="134" t="s">
        <v>77</v>
      </c>
      <c r="C41" s="135" t="s">
        <v>65</v>
      </c>
      <c r="D41" s="136" t="s">
        <v>66</v>
      </c>
      <c r="E41" s="135" t="s">
        <v>14</v>
      </c>
      <c r="F41" s="135" t="s">
        <v>54</v>
      </c>
      <c r="G41" s="137">
        <v>39.799999999999997</v>
      </c>
      <c r="H41" s="138">
        <v>12.97</v>
      </c>
      <c r="I41" s="138">
        <f t="shared" ca="1" si="2"/>
        <v>16.212500000000002</v>
      </c>
      <c r="J41" s="139">
        <v>523.76800000000003</v>
      </c>
      <c r="K41" s="140">
        <v>645.16</v>
      </c>
    </row>
    <row r="42" spans="2:11">
      <c r="B42" s="131" t="s">
        <v>78</v>
      </c>
      <c r="C42" s="154" t="s">
        <v>79</v>
      </c>
      <c r="D42" s="154"/>
      <c r="E42" s="154"/>
      <c r="F42" s="154"/>
      <c r="G42" s="154"/>
      <c r="H42" s="154"/>
      <c r="I42" s="131"/>
      <c r="J42" s="132">
        <v>6630.9612999999999</v>
      </c>
      <c r="K42" s="133">
        <f ca="1">SUM(K43:K47)</f>
        <v>8196.4074999999993</v>
      </c>
    </row>
    <row r="43" spans="2:11" ht="25.2" customHeight="1">
      <c r="B43" s="134" t="s">
        <v>80</v>
      </c>
      <c r="C43" s="135" t="s">
        <v>52</v>
      </c>
      <c r="D43" s="136" t="s">
        <v>53</v>
      </c>
      <c r="E43" s="135" t="s">
        <v>14</v>
      </c>
      <c r="F43" s="135" t="s">
        <v>54</v>
      </c>
      <c r="G43" s="137">
        <v>60.77</v>
      </c>
      <c r="H43" s="138">
        <v>41.02</v>
      </c>
      <c r="I43" s="138">
        <f t="shared" ca="1" si="2"/>
        <v>51.275000000000006</v>
      </c>
      <c r="J43" s="139">
        <v>2518.9164999999998</v>
      </c>
      <c r="K43" s="140">
        <v>3116.29</v>
      </c>
    </row>
    <row r="44" spans="2:11" ht="38.4" customHeight="1">
      <c r="B44" s="134" t="s">
        <v>81</v>
      </c>
      <c r="C44" s="135" t="s">
        <v>56</v>
      </c>
      <c r="D44" s="136" t="s">
        <v>57</v>
      </c>
      <c r="E44" s="135" t="s">
        <v>14</v>
      </c>
      <c r="F44" s="135" t="s">
        <v>54</v>
      </c>
      <c r="G44" s="137">
        <v>1.63</v>
      </c>
      <c r="H44" s="138">
        <v>63.37</v>
      </c>
      <c r="I44" s="138">
        <f t="shared" ca="1" si="2"/>
        <v>79.212499999999991</v>
      </c>
      <c r="J44" s="139">
        <v>104.09180000000001</v>
      </c>
      <c r="K44" s="140">
        <v>129.11000000000001</v>
      </c>
    </row>
    <row r="45" spans="2:11" ht="25.2" customHeight="1">
      <c r="B45" s="134" t="s">
        <v>82</v>
      </c>
      <c r="C45" s="135" t="s">
        <v>59</v>
      </c>
      <c r="D45" s="136" t="s">
        <v>60</v>
      </c>
      <c r="E45" s="135" t="s">
        <v>14</v>
      </c>
      <c r="F45" s="135" t="s">
        <v>54</v>
      </c>
      <c r="G45" s="137">
        <v>51.41</v>
      </c>
      <c r="H45" s="138">
        <v>57.4</v>
      </c>
      <c r="I45" s="138">
        <f t="shared" ca="1" si="2"/>
        <v>71.75</v>
      </c>
      <c r="J45" s="139">
        <v>2981.78</v>
      </c>
      <c r="K45" s="140">
        <f t="shared" ca="1" si="3"/>
        <v>3688.6674999999996</v>
      </c>
    </row>
    <row r="46" spans="2:11" ht="27" customHeight="1">
      <c r="B46" s="134" t="s">
        <v>83</v>
      </c>
      <c r="C46" s="135" t="s">
        <v>62</v>
      </c>
      <c r="D46" s="136" t="s">
        <v>63</v>
      </c>
      <c r="E46" s="135" t="s">
        <v>14</v>
      </c>
      <c r="F46" s="135" t="s">
        <v>15</v>
      </c>
      <c r="G46" s="137">
        <v>98.06</v>
      </c>
      <c r="H46" s="138">
        <v>2.99</v>
      </c>
      <c r="I46" s="138">
        <f t="shared" ca="1" si="2"/>
        <v>3.7375000000000003</v>
      </c>
      <c r="J46" s="139">
        <v>299.08300000000003</v>
      </c>
      <c r="K46" s="140">
        <v>366.74</v>
      </c>
    </row>
    <row r="47" spans="2:11" ht="38.4" customHeight="1">
      <c r="B47" s="134" t="s">
        <v>84</v>
      </c>
      <c r="C47" s="135" t="s">
        <v>65</v>
      </c>
      <c r="D47" s="136" t="s">
        <v>66</v>
      </c>
      <c r="E47" s="135" t="s">
        <v>14</v>
      </c>
      <c r="F47" s="135" t="s">
        <v>54</v>
      </c>
      <c r="G47" s="137">
        <v>55.25</v>
      </c>
      <c r="H47" s="138">
        <v>12.97</v>
      </c>
      <c r="I47" s="138">
        <f t="shared" ca="1" si="2"/>
        <v>16.212500000000002</v>
      </c>
      <c r="J47" s="139">
        <v>727.09</v>
      </c>
      <c r="K47" s="140">
        <v>895.6</v>
      </c>
    </row>
    <row r="48" spans="2:11">
      <c r="B48" s="131" t="s">
        <v>85</v>
      </c>
      <c r="C48" s="154" t="s">
        <v>86</v>
      </c>
      <c r="D48" s="154"/>
      <c r="E48" s="154"/>
      <c r="F48" s="154"/>
      <c r="G48" s="154"/>
      <c r="H48" s="154"/>
      <c r="I48" s="131"/>
      <c r="J48" s="132">
        <v>973164.22259999998</v>
      </c>
      <c r="K48" s="133">
        <f ca="1">SUM(K49,K54,K65,K73,K79,K86,K97,K104,K113,K117)</f>
        <v>1209260.9455000001</v>
      </c>
    </row>
    <row r="49" spans="1:11">
      <c r="B49" s="131" t="s">
        <v>87</v>
      </c>
      <c r="C49" s="154" t="s">
        <v>88</v>
      </c>
      <c r="D49" s="154"/>
      <c r="E49" s="154"/>
      <c r="F49" s="154"/>
      <c r="G49" s="154"/>
      <c r="H49" s="154"/>
      <c r="I49" s="131"/>
      <c r="J49" s="132">
        <v>218058.68</v>
      </c>
      <c r="K49" s="133">
        <f>SUM(K50:K53)</f>
        <v>272234.20999999996</v>
      </c>
    </row>
    <row r="50" spans="1:11" ht="33.6" customHeight="1">
      <c r="A50" t="s">
        <v>87</v>
      </c>
      <c r="B50" s="134" t="s">
        <v>89</v>
      </c>
      <c r="C50" s="135" t="s">
        <v>90</v>
      </c>
      <c r="D50" s="136" t="s">
        <v>91</v>
      </c>
      <c r="E50" s="135" t="s">
        <v>14</v>
      </c>
      <c r="F50" s="135" t="s">
        <v>30</v>
      </c>
      <c r="G50" s="137">
        <v>1116.5</v>
      </c>
      <c r="H50" s="138">
        <v>129.53</v>
      </c>
      <c r="I50" s="138">
        <f t="shared" ref="I50:I115" ca="1" si="4">(H50*J$5)+H50</f>
        <v>161.91249999999999</v>
      </c>
      <c r="J50" s="139">
        <v>144888.20499999999</v>
      </c>
      <c r="K50" s="140">
        <v>180772.52</v>
      </c>
    </row>
    <row r="51" spans="1:11" ht="35.4" customHeight="1">
      <c r="A51" t="s">
        <v>101</v>
      </c>
      <c r="B51" s="134" t="s">
        <v>92</v>
      </c>
      <c r="C51" s="135" t="s">
        <v>93</v>
      </c>
      <c r="D51" s="136" t="s">
        <v>94</v>
      </c>
      <c r="E51" s="135" t="s">
        <v>26</v>
      </c>
      <c r="F51" s="135" t="s">
        <v>30</v>
      </c>
      <c r="G51" s="137">
        <v>252</v>
      </c>
      <c r="H51" s="138">
        <v>129.85</v>
      </c>
      <c r="I51" s="138">
        <f t="shared" ca="1" si="4"/>
        <v>162.3125</v>
      </c>
      <c r="J51" s="139">
        <v>32722.2</v>
      </c>
      <c r="K51" s="140">
        <v>40902.120000000003</v>
      </c>
    </row>
    <row r="52" spans="1:11" ht="37.200000000000003" customHeight="1">
      <c r="A52" t="s">
        <v>134</v>
      </c>
      <c r="B52" s="134" t="s">
        <v>95</v>
      </c>
      <c r="C52" s="135" t="s">
        <v>96</v>
      </c>
      <c r="D52" s="136" t="s">
        <v>97</v>
      </c>
      <c r="E52" s="135" t="s">
        <v>26</v>
      </c>
      <c r="F52" s="135" t="s">
        <v>30</v>
      </c>
      <c r="G52" s="137">
        <v>42</v>
      </c>
      <c r="H52" s="138">
        <v>129.85</v>
      </c>
      <c r="I52" s="138">
        <f t="shared" ca="1" si="4"/>
        <v>162.3125</v>
      </c>
      <c r="J52" s="139">
        <v>5453.7</v>
      </c>
      <c r="K52" s="140">
        <v>6817.02</v>
      </c>
    </row>
    <row r="53" spans="1:11" ht="35.4" customHeight="1">
      <c r="A53" t="s">
        <v>143</v>
      </c>
      <c r="B53" s="134" t="s">
        <v>98</v>
      </c>
      <c r="C53" s="135" t="s">
        <v>99</v>
      </c>
      <c r="D53" s="136" t="s">
        <v>100</v>
      </c>
      <c r="E53" s="135" t="s">
        <v>26</v>
      </c>
      <c r="F53" s="135" t="s">
        <v>30</v>
      </c>
      <c r="G53" s="137">
        <v>269.5</v>
      </c>
      <c r="H53" s="138">
        <v>129.85</v>
      </c>
      <c r="I53" s="138">
        <f t="shared" ca="1" si="4"/>
        <v>162.3125</v>
      </c>
      <c r="J53" s="139">
        <v>34994.574999999997</v>
      </c>
      <c r="K53" s="140">
        <v>43742.55</v>
      </c>
    </row>
    <row r="54" spans="1:11">
      <c r="B54" s="131" t="s">
        <v>101</v>
      </c>
      <c r="C54" s="154" t="s">
        <v>102</v>
      </c>
      <c r="D54" s="154"/>
      <c r="E54" s="154"/>
      <c r="F54" s="154"/>
      <c r="G54" s="154"/>
      <c r="H54" s="154"/>
      <c r="I54" s="131"/>
      <c r="J54" s="132">
        <v>287702.00910000002</v>
      </c>
      <c r="K54" s="133">
        <f>SUM(K55:K64)</f>
        <v>357216.13</v>
      </c>
    </row>
    <row r="55" spans="1:11" ht="28.8" customHeight="1">
      <c r="A55" t="s">
        <v>150</v>
      </c>
      <c r="B55" s="134" t="s">
        <v>103</v>
      </c>
      <c r="C55" s="135" t="s">
        <v>104</v>
      </c>
      <c r="D55" s="136" t="s">
        <v>105</v>
      </c>
      <c r="E55" s="135" t="s">
        <v>14</v>
      </c>
      <c r="F55" s="135" t="s">
        <v>15</v>
      </c>
      <c r="G55" s="137">
        <v>192.08</v>
      </c>
      <c r="H55" s="138">
        <v>39.75</v>
      </c>
      <c r="I55" s="138">
        <f t="shared" ca="1" si="4"/>
        <v>49.6875</v>
      </c>
      <c r="J55" s="139">
        <v>7712.0119999999997</v>
      </c>
      <c r="K55" s="140">
        <v>9544.4599999999991</v>
      </c>
    </row>
    <row r="56" spans="1:11" ht="27" customHeight="1">
      <c r="A56" t="s">
        <v>158</v>
      </c>
      <c r="B56" s="134" t="s">
        <v>106</v>
      </c>
      <c r="C56" s="135" t="s">
        <v>107</v>
      </c>
      <c r="D56" s="136" t="s">
        <v>108</v>
      </c>
      <c r="E56" s="135" t="s">
        <v>14</v>
      </c>
      <c r="F56" s="135" t="s">
        <v>15</v>
      </c>
      <c r="G56" s="137">
        <v>836.69</v>
      </c>
      <c r="H56" s="138">
        <v>74.98</v>
      </c>
      <c r="I56" s="138">
        <f t="shared" ca="1" si="4"/>
        <v>93.725000000000009</v>
      </c>
      <c r="J56" s="139">
        <v>63755.777999999998</v>
      </c>
      <c r="K56" s="140">
        <v>78422.95</v>
      </c>
    </row>
    <row r="57" spans="1:11">
      <c r="A57" t="s">
        <v>180</v>
      </c>
      <c r="B57" s="134" t="s">
        <v>109</v>
      </c>
      <c r="C57" s="135" t="s">
        <v>110</v>
      </c>
      <c r="D57" s="136" t="s">
        <v>111</v>
      </c>
      <c r="E57" s="135" t="s">
        <v>14</v>
      </c>
      <c r="F57" s="135" t="s">
        <v>112</v>
      </c>
      <c r="G57" s="137">
        <v>305.05</v>
      </c>
      <c r="H57" s="138">
        <v>16.66</v>
      </c>
      <c r="I57" s="138">
        <f t="shared" ca="1" si="4"/>
        <v>20.824999999999999</v>
      </c>
      <c r="J57" s="139">
        <v>5137.0420000000004</v>
      </c>
      <c r="K57" s="140">
        <v>6354.19</v>
      </c>
    </row>
    <row r="58" spans="1:11">
      <c r="A58" t="s">
        <v>188</v>
      </c>
      <c r="B58" s="134" t="s">
        <v>113</v>
      </c>
      <c r="C58" s="135" t="s">
        <v>114</v>
      </c>
      <c r="D58" s="136" t="s">
        <v>115</v>
      </c>
      <c r="E58" s="135" t="s">
        <v>14</v>
      </c>
      <c r="F58" s="135" t="s">
        <v>112</v>
      </c>
      <c r="G58" s="137">
        <v>2540.31</v>
      </c>
      <c r="H58" s="138">
        <v>14.87</v>
      </c>
      <c r="I58" s="138">
        <f t="shared" ca="1" si="4"/>
        <v>18.587499999999999</v>
      </c>
      <c r="J58" s="139">
        <v>38104.65</v>
      </c>
      <c r="K58" s="140">
        <v>47224.36</v>
      </c>
    </row>
    <row r="59" spans="1:11" ht="21.6" customHeight="1">
      <c r="A59" t="s">
        <v>198</v>
      </c>
      <c r="B59" s="134" t="s">
        <v>116</v>
      </c>
      <c r="C59" s="135" t="s">
        <v>117</v>
      </c>
      <c r="D59" s="136" t="s">
        <v>118</v>
      </c>
      <c r="E59" s="135" t="s">
        <v>14</v>
      </c>
      <c r="F59" s="135" t="s">
        <v>112</v>
      </c>
      <c r="G59" s="137">
        <v>1194.47</v>
      </c>
      <c r="H59" s="138">
        <v>12.93</v>
      </c>
      <c r="I59" s="138">
        <f t="shared" ca="1" si="4"/>
        <v>16.162500000000001</v>
      </c>
      <c r="J59" s="139">
        <v>15587.833500000001</v>
      </c>
      <c r="K59" s="140">
        <v>19302.64</v>
      </c>
    </row>
    <row r="60" spans="1:11" ht="28.8" customHeight="1">
      <c r="A60" t="s">
        <v>207</v>
      </c>
      <c r="B60" s="134" t="s">
        <v>119</v>
      </c>
      <c r="C60" s="135" t="s">
        <v>120</v>
      </c>
      <c r="D60" s="136" t="s">
        <v>121</v>
      </c>
      <c r="E60" s="135" t="s">
        <v>14</v>
      </c>
      <c r="F60" s="135" t="s">
        <v>112</v>
      </c>
      <c r="G60" s="137">
        <v>1341.17</v>
      </c>
      <c r="H60" s="138">
        <v>9.91</v>
      </c>
      <c r="I60" s="138">
        <f t="shared" ca="1" si="4"/>
        <v>12.387499999999999</v>
      </c>
      <c r="J60" s="139">
        <v>13384.8766</v>
      </c>
      <c r="K60" s="140">
        <v>16617.099999999999</v>
      </c>
    </row>
    <row r="61" spans="1:11" ht="27" customHeight="1">
      <c r="A61" t="s">
        <v>1984</v>
      </c>
      <c r="B61" s="134" t="s">
        <v>122</v>
      </c>
      <c r="C61" s="135" t="s">
        <v>123</v>
      </c>
      <c r="D61" s="136" t="s">
        <v>124</v>
      </c>
      <c r="E61" s="135" t="s">
        <v>14</v>
      </c>
      <c r="F61" s="135" t="s">
        <v>112</v>
      </c>
      <c r="G61" s="137">
        <v>814.53</v>
      </c>
      <c r="H61" s="138">
        <v>9.2899999999999991</v>
      </c>
      <c r="I61" s="138">
        <f t="shared" ca="1" si="4"/>
        <v>11.612499999999999</v>
      </c>
      <c r="J61" s="139">
        <v>7599.5649000000003</v>
      </c>
      <c r="K61" s="140">
        <v>9456.69</v>
      </c>
    </row>
    <row r="62" spans="1:11" ht="24" customHeight="1">
      <c r="A62" t="s">
        <v>1985</v>
      </c>
      <c r="B62" s="134" t="s">
        <v>125</v>
      </c>
      <c r="C62" s="135" t="s">
        <v>126</v>
      </c>
      <c r="D62" s="136" t="s">
        <v>127</v>
      </c>
      <c r="E62" s="135" t="s">
        <v>14</v>
      </c>
      <c r="F62" s="135" t="s">
        <v>112</v>
      </c>
      <c r="G62" s="137">
        <v>355.05</v>
      </c>
      <c r="H62" s="138">
        <v>10.14</v>
      </c>
      <c r="I62" s="138">
        <f t="shared" ca="1" si="4"/>
        <v>12.675000000000001</v>
      </c>
      <c r="J62" s="139">
        <v>3610.8584999999998</v>
      </c>
      <c r="K62" s="140">
        <v>4502.03</v>
      </c>
    </row>
    <row r="63" spans="1:11" ht="27.6" customHeight="1">
      <c r="A63" t="s">
        <v>1986</v>
      </c>
      <c r="B63" s="134" t="s">
        <v>128</v>
      </c>
      <c r="C63" s="135" t="s">
        <v>129</v>
      </c>
      <c r="D63" s="136" t="s">
        <v>130</v>
      </c>
      <c r="E63" s="135" t="s">
        <v>14</v>
      </c>
      <c r="F63" s="135" t="s">
        <v>112</v>
      </c>
      <c r="G63" s="137">
        <v>560.02</v>
      </c>
      <c r="H63" s="138">
        <v>15.69</v>
      </c>
      <c r="I63" s="138">
        <f t="shared" ca="1" si="4"/>
        <v>19.612500000000001</v>
      </c>
      <c r="J63" s="139">
        <v>8893.1175999999996</v>
      </c>
      <c r="K63" s="140">
        <v>10981.99</v>
      </c>
    </row>
    <row r="64" spans="1:11" ht="23.4" customHeight="1">
      <c r="A64" t="s">
        <v>1987</v>
      </c>
      <c r="B64" s="134" t="s">
        <v>131</v>
      </c>
      <c r="C64" s="135" t="s">
        <v>132</v>
      </c>
      <c r="D64" s="136" t="s">
        <v>133</v>
      </c>
      <c r="E64" s="135" t="s">
        <v>14</v>
      </c>
      <c r="F64" s="135" t="s">
        <v>54</v>
      </c>
      <c r="G64" s="137">
        <v>152.9</v>
      </c>
      <c r="H64" s="138">
        <v>809.99</v>
      </c>
      <c r="I64" s="138">
        <f t="shared" ca="1" si="4"/>
        <v>1012.4875</v>
      </c>
      <c r="J64" s="139">
        <v>123916.276</v>
      </c>
      <c r="K64" s="140">
        <v>154809.72</v>
      </c>
    </row>
    <row r="65" spans="1:11">
      <c r="B65" s="131" t="s">
        <v>134</v>
      </c>
      <c r="C65" s="154" t="s">
        <v>135</v>
      </c>
      <c r="D65" s="154"/>
      <c r="E65" s="154"/>
      <c r="F65" s="154"/>
      <c r="G65" s="154"/>
      <c r="H65" s="154"/>
      <c r="I65" s="131"/>
      <c r="J65" s="132">
        <v>46687.408600000002</v>
      </c>
      <c r="K65" s="133">
        <f>SUM(K66:K72)</f>
        <v>57884.62</v>
      </c>
    </row>
    <row r="66" spans="1:11" ht="27" customHeight="1">
      <c r="A66" t="s">
        <v>1988</v>
      </c>
      <c r="B66" s="134" t="s">
        <v>136</v>
      </c>
      <c r="C66" s="135" t="s">
        <v>104</v>
      </c>
      <c r="D66" s="136" t="s">
        <v>105</v>
      </c>
      <c r="E66" s="135" t="s">
        <v>14</v>
      </c>
      <c r="F66" s="135" t="s">
        <v>15</v>
      </c>
      <c r="G66" s="137">
        <v>31.22</v>
      </c>
      <c r="H66" s="138">
        <v>39.75</v>
      </c>
      <c r="I66" s="138">
        <f t="shared" ca="1" si="4"/>
        <v>49.6875</v>
      </c>
      <c r="J66" s="139">
        <v>1253.4829999999999</v>
      </c>
      <c r="K66" s="140">
        <v>1551.32</v>
      </c>
    </row>
    <row r="67" spans="1:11" ht="31.2" customHeight="1">
      <c r="A67" t="s">
        <v>1989</v>
      </c>
      <c r="B67" s="134" t="s">
        <v>137</v>
      </c>
      <c r="C67" s="135" t="s">
        <v>107</v>
      </c>
      <c r="D67" s="136" t="s">
        <v>108</v>
      </c>
      <c r="E67" s="135" t="s">
        <v>14</v>
      </c>
      <c r="F67" s="135" t="s">
        <v>15</v>
      </c>
      <c r="G67" s="137">
        <v>117.86</v>
      </c>
      <c r="H67" s="138">
        <v>74.98</v>
      </c>
      <c r="I67" s="138">
        <f t="shared" ca="1" si="4"/>
        <v>93.725000000000009</v>
      </c>
      <c r="J67" s="139">
        <v>8980.9320000000007</v>
      </c>
      <c r="K67" s="140">
        <v>11047.02</v>
      </c>
    </row>
    <row r="68" spans="1:11">
      <c r="A68" t="s">
        <v>1990</v>
      </c>
      <c r="B68" s="134" t="s">
        <v>138</v>
      </c>
      <c r="C68" s="135" t="s">
        <v>110</v>
      </c>
      <c r="D68" s="136" t="s">
        <v>111</v>
      </c>
      <c r="E68" s="135" t="s">
        <v>14</v>
      </c>
      <c r="F68" s="135" t="s">
        <v>112</v>
      </c>
      <c r="G68" s="137">
        <v>287.14</v>
      </c>
      <c r="H68" s="138">
        <v>16.66</v>
      </c>
      <c r="I68" s="138">
        <f t="shared" ca="1" si="4"/>
        <v>20.824999999999999</v>
      </c>
      <c r="J68" s="139">
        <v>4835.4376000000002</v>
      </c>
      <c r="K68" s="140">
        <v>5981.13</v>
      </c>
    </row>
    <row r="69" spans="1:11">
      <c r="A69" t="s">
        <v>1991</v>
      </c>
      <c r="B69" s="134" t="s">
        <v>139</v>
      </c>
      <c r="C69" s="135" t="s">
        <v>114</v>
      </c>
      <c r="D69" s="136" t="s">
        <v>115</v>
      </c>
      <c r="E69" s="135" t="s">
        <v>14</v>
      </c>
      <c r="F69" s="135" t="s">
        <v>112</v>
      </c>
      <c r="G69" s="137">
        <v>8.52</v>
      </c>
      <c r="H69" s="138">
        <v>14.87</v>
      </c>
      <c r="I69" s="138">
        <f t="shared" ca="1" si="4"/>
        <v>18.587499999999999</v>
      </c>
      <c r="J69" s="139">
        <v>127.8</v>
      </c>
      <c r="K69" s="140">
        <v>158.38999999999999</v>
      </c>
    </row>
    <row r="70" spans="1:11" ht="14.4" customHeight="1">
      <c r="A70" t="s">
        <v>1992</v>
      </c>
      <c r="B70" s="134" t="s">
        <v>140</v>
      </c>
      <c r="C70" s="135" t="s">
        <v>117</v>
      </c>
      <c r="D70" s="136" t="s">
        <v>118</v>
      </c>
      <c r="E70" s="135" t="s">
        <v>14</v>
      </c>
      <c r="F70" s="135" t="s">
        <v>112</v>
      </c>
      <c r="G70" s="137">
        <v>351.64</v>
      </c>
      <c r="H70" s="138">
        <v>12.93</v>
      </c>
      <c r="I70" s="138">
        <f t="shared" ca="1" si="4"/>
        <v>16.162500000000001</v>
      </c>
      <c r="J70" s="139">
        <v>4588.902</v>
      </c>
      <c r="K70" s="140">
        <v>5682.5</v>
      </c>
    </row>
    <row r="71" spans="1:11" ht="28.8" customHeight="1">
      <c r="A71" t="s">
        <v>1993</v>
      </c>
      <c r="B71" s="134" t="s">
        <v>141</v>
      </c>
      <c r="C71" s="135" t="s">
        <v>129</v>
      </c>
      <c r="D71" s="136" t="s">
        <v>130</v>
      </c>
      <c r="E71" s="135" t="s">
        <v>14</v>
      </c>
      <c r="F71" s="135" t="s">
        <v>112</v>
      </c>
      <c r="G71" s="137">
        <v>625.33000000000004</v>
      </c>
      <c r="H71" s="138">
        <v>15.69</v>
      </c>
      <c r="I71" s="138">
        <f t="shared" ca="1" si="4"/>
        <v>19.612500000000001</v>
      </c>
      <c r="J71" s="139">
        <v>9930.2404000000006</v>
      </c>
      <c r="K71" s="140">
        <v>12262.72</v>
      </c>
    </row>
    <row r="72" spans="1:11" ht="23.4" customHeight="1">
      <c r="A72" t="s">
        <v>1994</v>
      </c>
      <c r="B72" s="134" t="s">
        <v>142</v>
      </c>
      <c r="C72" s="135" t="s">
        <v>132</v>
      </c>
      <c r="D72" s="136" t="s">
        <v>133</v>
      </c>
      <c r="E72" s="135" t="s">
        <v>14</v>
      </c>
      <c r="F72" s="135" t="s">
        <v>54</v>
      </c>
      <c r="G72" s="137">
        <v>20.94</v>
      </c>
      <c r="H72" s="138">
        <v>809.99</v>
      </c>
      <c r="I72" s="138">
        <f t="shared" ca="1" si="4"/>
        <v>1012.4875</v>
      </c>
      <c r="J72" s="139">
        <v>16970.613600000001</v>
      </c>
      <c r="K72" s="140">
        <v>21201.54</v>
      </c>
    </row>
    <row r="73" spans="1:11">
      <c r="B73" s="131" t="s">
        <v>143</v>
      </c>
      <c r="C73" s="154" t="s">
        <v>144</v>
      </c>
      <c r="D73" s="154"/>
      <c r="E73" s="154"/>
      <c r="F73" s="154"/>
      <c r="G73" s="154"/>
      <c r="H73" s="154"/>
      <c r="I73" s="131"/>
      <c r="J73" s="132">
        <v>5512.4291000000003</v>
      </c>
      <c r="K73" s="133">
        <f>SUM(K74:K78)</f>
        <v>6838.880000000001</v>
      </c>
    </row>
    <row r="74" spans="1:11" ht="28.2" customHeight="1">
      <c r="A74" t="s">
        <v>1995</v>
      </c>
      <c r="B74" s="134" t="s">
        <v>145</v>
      </c>
      <c r="C74" s="135" t="s">
        <v>104</v>
      </c>
      <c r="D74" s="136" t="s">
        <v>105</v>
      </c>
      <c r="E74" s="135" t="s">
        <v>14</v>
      </c>
      <c r="F74" s="135" t="s">
        <v>15</v>
      </c>
      <c r="G74" s="137">
        <v>4.32</v>
      </c>
      <c r="H74" s="138">
        <v>39.75</v>
      </c>
      <c r="I74" s="138">
        <f t="shared" ca="1" si="4"/>
        <v>49.6875</v>
      </c>
      <c r="J74" s="139">
        <v>173.44800000000001</v>
      </c>
      <c r="K74" s="141">
        <v>214.66</v>
      </c>
    </row>
    <row r="75" spans="1:11" ht="24" customHeight="1">
      <c r="A75" t="s">
        <v>1996</v>
      </c>
      <c r="B75" s="134" t="s">
        <v>146</v>
      </c>
      <c r="C75" s="135" t="s">
        <v>107</v>
      </c>
      <c r="D75" s="136" t="s">
        <v>108</v>
      </c>
      <c r="E75" s="135" t="s">
        <v>14</v>
      </c>
      <c r="F75" s="135" t="s">
        <v>15</v>
      </c>
      <c r="G75" s="137">
        <v>17.28</v>
      </c>
      <c r="H75" s="138">
        <v>74.98</v>
      </c>
      <c r="I75" s="138">
        <f t="shared" ca="1" si="4"/>
        <v>93.725000000000009</v>
      </c>
      <c r="J75" s="139">
        <v>1316.7360000000001</v>
      </c>
      <c r="K75" s="140">
        <v>1619.65</v>
      </c>
    </row>
    <row r="76" spans="1:11">
      <c r="A76" t="s">
        <v>1997</v>
      </c>
      <c r="B76" s="134" t="s">
        <v>147</v>
      </c>
      <c r="C76" s="135" t="s">
        <v>114</v>
      </c>
      <c r="D76" s="136" t="s">
        <v>115</v>
      </c>
      <c r="E76" s="135" t="s">
        <v>14</v>
      </c>
      <c r="F76" s="135" t="s">
        <v>112</v>
      </c>
      <c r="G76" s="137">
        <v>45.12</v>
      </c>
      <c r="H76" s="138">
        <v>14.87</v>
      </c>
      <c r="I76" s="138">
        <f t="shared" ca="1" si="4"/>
        <v>18.587499999999999</v>
      </c>
      <c r="J76" s="139">
        <v>676.8</v>
      </c>
      <c r="K76" s="140">
        <v>838.78</v>
      </c>
    </row>
    <row r="77" spans="1:11">
      <c r="A77" t="s">
        <v>1998</v>
      </c>
      <c r="B77" s="134" t="s">
        <v>148</v>
      </c>
      <c r="C77" s="135" t="s">
        <v>117</v>
      </c>
      <c r="D77" s="136" t="s">
        <v>118</v>
      </c>
      <c r="E77" s="135" t="s">
        <v>14</v>
      </c>
      <c r="F77" s="135" t="s">
        <v>112</v>
      </c>
      <c r="G77" s="137">
        <v>95.51</v>
      </c>
      <c r="H77" s="138">
        <v>12.93</v>
      </c>
      <c r="I77" s="138">
        <f t="shared" ca="1" si="4"/>
        <v>16.162500000000001</v>
      </c>
      <c r="J77" s="139">
        <v>1246.4055000000001</v>
      </c>
      <c r="K77" s="140">
        <v>1543.44</v>
      </c>
    </row>
    <row r="78" spans="1:11" ht="29.4" customHeight="1">
      <c r="A78" t="s">
        <v>1999</v>
      </c>
      <c r="B78" s="134" t="s">
        <v>149</v>
      </c>
      <c r="C78" s="135" t="s">
        <v>132</v>
      </c>
      <c r="D78" s="136" t="s">
        <v>133</v>
      </c>
      <c r="E78" s="135" t="s">
        <v>14</v>
      </c>
      <c r="F78" s="135" t="s">
        <v>54</v>
      </c>
      <c r="G78" s="137">
        <v>2.59</v>
      </c>
      <c r="H78" s="138">
        <v>809.99</v>
      </c>
      <c r="I78" s="138">
        <f t="shared" ca="1" si="4"/>
        <v>1012.4875</v>
      </c>
      <c r="J78" s="139">
        <v>2099.0396000000001</v>
      </c>
      <c r="K78" s="140">
        <v>2622.35</v>
      </c>
    </row>
    <row r="79" spans="1:11">
      <c r="B79" s="131" t="s">
        <v>150</v>
      </c>
      <c r="C79" s="154" t="s">
        <v>151</v>
      </c>
      <c r="D79" s="154"/>
      <c r="E79" s="154"/>
      <c r="F79" s="154"/>
      <c r="G79" s="154"/>
      <c r="H79" s="154"/>
      <c r="I79" s="131"/>
      <c r="J79" s="132">
        <v>64900.924500000001</v>
      </c>
      <c r="K79" s="133">
        <f>SUM(K80:K85)</f>
        <v>80632.94</v>
      </c>
    </row>
    <row r="80" spans="1:11" ht="28.2" customHeight="1">
      <c r="A80" t="s">
        <v>2000</v>
      </c>
      <c r="B80" s="134" t="s">
        <v>152</v>
      </c>
      <c r="C80" s="135" t="s">
        <v>104</v>
      </c>
      <c r="D80" s="136" t="s">
        <v>105</v>
      </c>
      <c r="E80" s="135" t="s">
        <v>14</v>
      </c>
      <c r="F80" s="135" t="s">
        <v>15</v>
      </c>
      <c r="G80" s="137">
        <v>52.67</v>
      </c>
      <c r="H80" s="138">
        <v>39.75</v>
      </c>
      <c r="I80" s="138">
        <f t="shared" ca="1" si="4"/>
        <v>49.6875</v>
      </c>
      <c r="J80" s="139">
        <v>2114.7004999999999</v>
      </c>
      <c r="K80" s="140">
        <v>2617.17</v>
      </c>
    </row>
    <row r="81" spans="1:11" ht="30" customHeight="1">
      <c r="A81" t="s">
        <v>2001</v>
      </c>
      <c r="B81" s="134" t="s">
        <v>153</v>
      </c>
      <c r="C81" s="135" t="s">
        <v>107</v>
      </c>
      <c r="D81" s="136" t="s">
        <v>108</v>
      </c>
      <c r="E81" s="135" t="s">
        <v>14</v>
      </c>
      <c r="F81" s="135" t="s">
        <v>15</v>
      </c>
      <c r="G81" s="137">
        <v>126.91</v>
      </c>
      <c r="H81" s="138">
        <v>74.98</v>
      </c>
      <c r="I81" s="138">
        <f t="shared" ca="1" si="4"/>
        <v>93.725000000000009</v>
      </c>
      <c r="J81" s="139">
        <v>9670.5419999999995</v>
      </c>
      <c r="K81" s="140">
        <v>11895.27</v>
      </c>
    </row>
    <row r="82" spans="1:11">
      <c r="A82" t="s">
        <v>2002</v>
      </c>
      <c r="B82" s="134" t="s">
        <v>154</v>
      </c>
      <c r="C82" s="135" t="s">
        <v>110</v>
      </c>
      <c r="D82" s="136" t="s">
        <v>111</v>
      </c>
      <c r="E82" s="135" t="s">
        <v>14</v>
      </c>
      <c r="F82" s="135" t="s">
        <v>112</v>
      </c>
      <c r="G82" s="137">
        <v>349.32</v>
      </c>
      <c r="H82" s="138">
        <v>16.66</v>
      </c>
      <c r="I82" s="138">
        <f t="shared" ca="1" si="4"/>
        <v>20.824999999999999</v>
      </c>
      <c r="J82" s="139">
        <v>5882.5487999999996</v>
      </c>
      <c r="K82" s="140">
        <v>7276.34</v>
      </c>
    </row>
    <row r="83" spans="1:11">
      <c r="A83" t="s">
        <v>2003</v>
      </c>
      <c r="B83" s="134" t="s">
        <v>155</v>
      </c>
      <c r="C83" s="135" t="s">
        <v>114</v>
      </c>
      <c r="D83" s="136" t="s">
        <v>115</v>
      </c>
      <c r="E83" s="135" t="s">
        <v>14</v>
      </c>
      <c r="F83" s="135" t="s">
        <v>112</v>
      </c>
      <c r="G83" s="137">
        <v>247.84</v>
      </c>
      <c r="H83" s="138">
        <v>14.87</v>
      </c>
      <c r="I83" s="138">
        <f t="shared" ca="1" si="4"/>
        <v>18.587499999999999</v>
      </c>
      <c r="J83" s="139">
        <v>3717.6</v>
      </c>
      <c r="K83" s="140">
        <v>4607.3500000000004</v>
      </c>
    </row>
    <row r="84" spans="1:11" ht="20.399999999999999" customHeight="1">
      <c r="A84" t="s">
        <v>2004</v>
      </c>
      <c r="B84" s="134" t="s">
        <v>156</v>
      </c>
      <c r="C84" s="135" t="s">
        <v>117</v>
      </c>
      <c r="D84" s="136" t="s">
        <v>118</v>
      </c>
      <c r="E84" s="135" t="s">
        <v>14</v>
      </c>
      <c r="F84" s="135" t="s">
        <v>112</v>
      </c>
      <c r="G84" s="137">
        <v>888.92</v>
      </c>
      <c r="H84" s="138">
        <v>12.93</v>
      </c>
      <c r="I84" s="138">
        <f t="shared" ca="1" si="4"/>
        <v>16.162500000000001</v>
      </c>
      <c r="J84" s="139">
        <v>11600.406000000001</v>
      </c>
      <c r="K84" s="140">
        <v>14364.95</v>
      </c>
    </row>
    <row r="85" spans="1:11" ht="28.2" customHeight="1">
      <c r="A85" t="s">
        <v>2005</v>
      </c>
      <c r="B85" s="134" t="s">
        <v>157</v>
      </c>
      <c r="C85" s="135" t="s">
        <v>132</v>
      </c>
      <c r="D85" s="136" t="s">
        <v>133</v>
      </c>
      <c r="E85" s="135" t="s">
        <v>14</v>
      </c>
      <c r="F85" s="135" t="s">
        <v>54</v>
      </c>
      <c r="G85" s="137">
        <v>39.380000000000003</v>
      </c>
      <c r="H85" s="138">
        <v>809.99</v>
      </c>
      <c r="I85" s="138">
        <f t="shared" ca="1" si="4"/>
        <v>1012.4875</v>
      </c>
      <c r="J85" s="139">
        <v>31915.127199999999</v>
      </c>
      <c r="K85" s="140">
        <v>39871.86</v>
      </c>
    </row>
    <row r="86" spans="1:11">
      <c r="B86" s="131" t="s">
        <v>158</v>
      </c>
      <c r="C86" s="154" t="s">
        <v>159</v>
      </c>
      <c r="D86" s="154"/>
      <c r="E86" s="154"/>
      <c r="F86" s="154"/>
      <c r="G86" s="154"/>
      <c r="H86" s="154"/>
      <c r="I86" s="131"/>
      <c r="J86" s="132">
        <v>289226.56630000001</v>
      </c>
      <c r="K86" s="133">
        <f ca="1">SUM(K87:K96)</f>
        <v>358756.32199999999</v>
      </c>
    </row>
    <row r="87" spans="1:11" ht="31.2" customHeight="1">
      <c r="A87" t="s">
        <v>2006</v>
      </c>
      <c r="B87" s="134" t="s">
        <v>160</v>
      </c>
      <c r="C87" s="135" t="s">
        <v>104</v>
      </c>
      <c r="D87" s="136" t="s">
        <v>105</v>
      </c>
      <c r="E87" s="135" t="s">
        <v>14</v>
      </c>
      <c r="F87" s="135" t="s">
        <v>15</v>
      </c>
      <c r="G87" s="137">
        <v>254.22</v>
      </c>
      <c r="H87" s="138">
        <v>39.75</v>
      </c>
      <c r="I87" s="138">
        <f t="shared" ca="1" si="4"/>
        <v>49.6875</v>
      </c>
      <c r="J87" s="139">
        <v>10206.933000000001</v>
      </c>
      <c r="K87" s="140">
        <v>12632.19</v>
      </c>
    </row>
    <row r="88" spans="1:11" ht="26.4" customHeight="1">
      <c r="A88" t="s">
        <v>2007</v>
      </c>
      <c r="B88" s="134" t="s">
        <v>161</v>
      </c>
      <c r="C88" s="135" t="s">
        <v>162</v>
      </c>
      <c r="D88" s="136" t="s">
        <v>163</v>
      </c>
      <c r="E88" s="135" t="s">
        <v>14</v>
      </c>
      <c r="F88" s="135" t="s">
        <v>54</v>
      </c>
      <c r="G88" s="137">
        <v>104.55</v>
      </c>
      <c r="H88" s="138">
        <v>407.78</v>
      </c>
      <c r="I88" s="138">
        <f t="shared" ca="1" si="4"/>
        <v>509.72499999999997</v>
      </c>
      <c r="J88" s="139">
        <v>42818.452499999999</v>
      </c>
      <c r="K88" s="140">
        <v>53292.27</v>
      </c>
    </row>
    <row r="89" spans="1:11" ht="30" customHeight="1">
      <c r="A89" t="s">
        <v>2008</v>
      </c>
      <c r="B89" s="134" t="s">
        <v>164</v>
      </c>
      <c r="C89" s="135" t="s">
        <v>165</v>
      </c>
      <c r="D89" s="136" t="s">
        <v>166</v>
      </c>
      <c r="E89" s="135" t="s">
        <v>14</v>
      </c>
      <c r="F89" s="135" t="s">
        <v>15</v>
      </c>
      <c r="G89" s="137">
        <v>1365.43</v>
      </c>
      <c r="H89" s="138">
        <v>65.239999999999995</v>
      </c>
      <c r="I89" s="138">
        <f t="shared" ca="1" si="4"/>
        <v>81.55</v>
      </c>
      <c r="J89" s="139">
        <v>90473.391799999998</v>
      </c>
      <c r="K89" s="140">
        <v>111350.82</v>
      </c>
    </row>
    <row r="90" spans="1:11" ht="31.8" customHeight="1">
      <c r="A90" t="s">
        <v>2009</v>
      </c>
      <c r="B90" s="134" t="s">
        <v>167</v>
      </c>
      <c r="C90" s="135" t="s">
        <v>168</v>
      </c>
      <c r="D90" s="136" t="s">
        <v>169</v>
      </c>
      <c r="E90" s="135" t="s">
        <v>14</v>
      </c>
      <c r="F90" s="135" t="s">
        <v>112</v>
      </c>
      <c r="G90" s="137">
        <v>29.08</v>
      </c>
      <c r="H90" s="138">
        <v>14.32</v>
      </c>
      <c r="I90" s="138">
        <f t="shared" ca="1" si="4"/>
        <v>17.899999999999999</v>
      </c>
      <c r="J90" s="139">
        <v>420.20600000000002</v>
      </c>
      <c r="K90" s="140">
        <f t="shared" ref="K90:K107" ca="1" si="5">I90*G90</f>
        <v>520.53199999999993</v>
      </c>
    </row>
    <row r="91" spans="1:11" ht="25.2" customHeight="1">
      <c r="A91" t="s">
        <v>2010</v>
      </c>
      <c r="B91" s="134" t="s">
        <v>170</v>
      </c>
      <c r="C91" s="135" t="s">
        <v>171</v>
      </c>
      <c r="D91" s="136" t="s">
        <v>172</v>
      </c>
      <c r="E91" s="135" t="s">
        <v>14</v>
      </c>
      <c r="F91" s="135" t="s">
        <v>112</v>
      </c>
      <c r="G91" s="137">
        <v>2164.4699999999998</v>
      </c>
      <c r="H91" s="138">
        <v>13.15</v>
      </c>
      <c r="I91" s="138">
        <f t="shared" ca="1" si="4"/>
        <v>16.4375</v>
      </c>
      <c r="J91" s="139">
        <v>28657.5828</v>
      </c>
      <c r="K91" s="140">
        <v>35583.89</v>
      </c>
    </row>
    <row r="92" spans="1:11" ht="27" customHeight="1">
      <c r="A92" t="s">
        <v>2011</v>
      </c>
      <c r="B92" s="134" t="s">
        <v>173</v>
      </c>
      <c r="C92" s="135" t="s">
        <v>174</v>
      </c>
      <c r="D92" s="136" t="s">
        <v>175</v>
      </c>
      <c r="E92" s="135" t="s">
        <v>14</v>
      </c>
      <c r="F92" s="135" t="s">
        <v>112</v>
      </c>
      <c r="G92" s="137">
        <v>1012.24</v>
      </c>
      <c r="H92" s="138">
        <v>11.69</v>
      </c>
      <c r="I92" s="138">
        <f t="shared" ca="1" si="4"/>
        <v>14.612499999999999</v>
      </c>
      <c r="J92" s="139">
        <v>11903.9424</v>
      </c>
      <c r="K92" s="140">
        <v>14788.83</v>
      </c>
    </row>
    <row r="93" spans="1:11" ht="27.6" customHeight="1">
      <c r="A93" t="s">
        <v>2012</v>
      </c>
      <c r="B93" s="134" t="s">
        <v>176</v>
      </c>
      <c r="C93" s="135" t="s">
        <v>120</v>
      </c>
      <c r="D93" s="136" t="s">
        <v>121</v>
      </c>
      <c r="E93" s="135" t="s">
        <v>14</v>
      </c>
      <c r="F93" s="135" t="s">
        <v>112</v>
      </c>
      <c r="G93" s="137">
        <v>245.63</v>
      </c>
      <c r="H93" s="138">
        <v>9.91</v>
      </c>
      <c r="I93" s="138">
        <f t="shared" ca="1" si="4"/>
        <v>12.387499999999999</v>
      </c>
      <c r="J93" s="139">
        <v>2451.3874000000001</v>
      </c>
      <c r="K93" s="140">
        <v>3043.36</v>
      </c>
    </row>
    <row r="94" spans="1:11" ht="35.4" customHeight="1">
      <c r="A94" t="s">
        <v>2013</v>
      </c>
      <c r="B94" s="134" t="s">
        <v>177</v>
      </c>
      <c r="C94" s="135" t="s">
        <v>123</v>
      </c>
      <c r="D94" s="136" t="s">
        <v>124</v>
      </c>
      <c r="E94" s="135" t="s">
        <v>14</v>
      </c>
      <c r="F94" s="135" t="s">
        <v>112</v>
      </c>
      <c r="G94" s="137">
        <v>7.48</v>
      </c>
      <c r="H94" s="138">
        <v>9.2899999999999991</v>
      </c>
      <c r="I94" s="138">
        <f t="shared" ca="1" si="4"/>
        <v>11.612499999999999</v>
      </c>
      <c r="J94" s="139">
        <v>69.788399999999996</v>
      </c>
      <c r="K94" s="140">
        <v>86.84</v>
      </c>
    </row>
    <row r="95" spans="1:11" ht="28.2" customHeight="1">
      <c r="A95" t="s">
        <v>2014</v>
      </c>
      <c r="B95" s="134" t="s">
        <v>178</v>
      </c>
      <c r="C95" s="135" t="s">
        <v>129</v>
      </c>
      <c r="D95" s="136" t="s">
        <v>130</v>
      </c>
      <c r="E95" s="135" t="s">
        <v>14</v>
      </c>
      <c r="F95" s="135" t="s">
        <v>112</v>
      </c>
      <c r="G95" s="137">
        <v>1104.1500000000001</v>
      </c>
      <c r="H95" s="138">
        <v>15.69</v>
      </c>
      <c r="I95" s="138">
        <f t="shared" ca="1" si="4"/>
        <v>19.612500000000001</v>
      </c>
      <c r="J95" s="139">
        <v>17533.901999999998</v>
      </c>
      <c r="K95" s="140">
        <v>21652.38</v>
      </c>
    </row>
    <row r="96" spans="1:11" ht="25.8" customHeight="1">
      <c r="A96" t="s">
        <v>2015</v>
      </c>
      <c r="B96" s="134" t="s">
        <v>179</v>
      </c>
      <c r="C96" s="135" t="s">
        <v>132</v>
      </c>
      <c r="D96" s="136" t="s">
        <v>133</v>
      </c>
      <c r="E96" s="135" t="s">
        <v>14</v>
      </c>
      <c r="F96" s="135" t="s">
        <v>54</v>
      </c>
      <c r="G96" s="137">
        <v>104.5</v>
      </c>
      <c r="H96" s="138">
        <v>809.99</v>
      </c>
      <c r="I96" s="138">
        <f t="shared" ca="1" si="4"/>
        <v>1012.4875</v>
      </c>
      <c r="J96" s="139">
        <v>84690.98</v>
      </c>
      <c r="K96" s="140">
        <v>105805.21</v>
      </c>
    </row>
    <row r="97" spans="1:11" ht="19.8" customHeight="1">
      <c r="B97" s="131" t="s">
        <v>180</v>
      </c>
      <c r="C97" s="154" t="s">
        <v>181</v>
      </c>
      <c r="D97" s="154"/>
      <c r="E97" s="154"/>
      <c r="F97" s="154"/>
      <c r="G97" s="154"/>
      <c r="H97" s="154"/>
      <c r="I97" s="131"/>
      <c r="J97" s="132">
        <v>39936.911999999997</v>
      </c>
      <c r="K97" s="133">
        <f ca="1">SUM(K98:K103)</f>
        <v>49498.957499999997</v>
      </c>
    </row>
    <row r="98" spans="1:11" ht="28.2" customHeight="1">
      <c r="A98" t="s">
        <v>2016</v>
      </c>
      <c r="B98" s="134" t="s">
        <v>182</v>
      </c>
      <c r="C98" s="135" t="s">
        <v>104</v>
      </c>
      <c r="D98" s="136" t="s">
        <v>105</v>
      </c>
      <c r="E98" s="135" t="s">
        <v>14</v>
      </c>
      <c r="F98" s="135" t="s">
        <v>15</v>
      </c>
      <c r="G98" s="137">
        <v>51.41</v>
      </c>
      <c r="H98" s="138">
        <v>39.75</v>
      </c>
      <c r="I98" s="138">
        <f t="shared" ca="1" si="4"/>
        <v>49.6875</v>
      </c>
      <c r="J98" s="139">
        <v>2064.1115</v>
      </c>
      <c r="K98" s="140">
        <v>2554.56</v>
      </c>
    </row>
    <row r="99" spans="1:11" ht="27" customHeight="1">
      <c r="A99" t="s">
        <v>2017</v>
      </c>
      <c r="B99" s="134" t="s">
        <v>183</v>
      </c>
      <c r="C99" s="135" t="s">
        <v>162</v>
      </c>
      <c r="D99" s="136" t="s">
        <v>163</v>
      </c>
      <c r="E99" s="135" t="s">
        <v>14</v>
      </c>
      <c r="F99" s="135" t="s">
        <v>54</v>
      </c>
      <c r="G99" s="137">
        <v>0.56999999999999995</v>
      </c>
      <c r="H99" s="138">
        <v>407.78</v>
      </c>
      <c r="I99" s="138">
        <f t="shared" ca="1" si="4"/>
        <v>509.72499999999997</v>
      </c>
      <c r="J99" s="139">
        <v>233.4435</v>
      </c>
      <c r="K99" s="140">
        <v>290.55</v>
      </c>
    </row>
    <row r="100" spans="1:11" ht="27" customHeight="1">
      <c r="A100" t="s">
        <v>2018</v>
      </c>
      <c r="B100" s="134" t="s">
        <v>184</v>
      </c>
      <c r="C100" s="135" t="s">
        <v>165</v>
      </c>
      <c r="D100" s="136" t="s">
        <v>166</v>
      </c>
      <c r="E100" s="135" t="s">
        <v>14</v>
      </c>
      <c r="F100" s="135" t="s">
        <v>15</v>
      </c>
      <c r="G100" s="137">
        <v>205.65</v>
      </c>
      <c r="H100" s="138">
        <v>65.239999999999995</v>
      </c>
      <c r="I100" s="138">
        <f t="shared" ca="1" si="4"/>
        <v>81.55</v>
      </c>
      <c r="J100" s="139">
        <v>13626.369000000001</v>
      </c>
      <c r="K100" s="140">
        <f t="shared" ca="1" si="5"/>
        <v>16770.7575</v>
      </c>
    </row>
    <row r="101" spans="1:11" ht="28.2" customHeight="1">
      <c r="A101" t="s">
        <v>2019</v>
      </c>
      <c r="B101" s="134" t="s">
        <v>185</v>
      </c>
      <c r="C101" s="135" t="s">
        <v>171</v>
      </c>
      <c r="D101" s="136" t="s">
        <v>172</v>
      </c>
      <c r="E101" s="135" t="s">
        <v>14</v>
      </c>
      <c r="F101" s="135" t="s">
        <v>112</v>
      </c>
      <c r="G101" s="137">
        <v>549.73</v>
      </c>
      <c r="H101" s="138">
        <v>13.15</v>
      </c>
      <c r="I101" s="138">
        <f t="shared" ca="1" si="4"/>
        <v>16.4375</v>
      </c>
      <c r="J101" s="139">
        <v>7278.4251999999997</v>
      </c>
      <c r="K101" s="140">
        <v>9037.56</v>
      </c>
    </row>
    <row r="102" spans="1:11" ht="25.8" customHeight="1">
      <c r="A102" t="s">
        <v>2020</v>
      </c>
      <c r="B102" s="134" t="s">
        <v>186</v>
      </c>
      <c r="C102" s="135" t="s">
        <v>129</v>
      </c>
      <c r="D102" s="136" t="s">
        <v>130</v>
      </c>
      <c r="E102" s="135" t="s">
        <v>14</v>
      </c>
      <c r="F102" s="135" t="s">
        <v>112</v>
      </c>
      <c r="G102" s="137">
        <v>266.85000000000002</v>
      </c>
      <c r="H102" s="138">
        <v>15.69</v>
      </c>
      <c r="I102" s="138">
        <f t="shared" ca="1" si="4"/>
        <v>19.612500000000001</v>
      </c>
      <c r="J102" s="139">
        <v>4237.5780000000004</v>
      </c>
      <c r="K102" s="140">
        <v>5232.93</v>
      </c>
    </row>
    <row r="103" spans="1:11" ht="26.4" customHeight="1">
      <c r="A103" t="s">
        <v>2021</v>
      </c>
      <c r="B103" s="134" t="s">
        <v>187</v>
      </c>
      <c r="C103" s="135" t="s">
        <v>132</v>
      </c>
      <c r="D103" s="136" t="s">
        <v>133</v>
      </c>
      <c r="E103" s="135" t="s">
        <v>14</v>
      </c>
      <c r="F103" s="135" t="s">
        <v>54</v>
      </c>
      <c r="G103" s="137">
        <v>15.42</v>
      </c>
      <c r="H103" s="138">
        <v>809.99</v>
      </c>
      <c r="I103" s="138">
        <f t="shared" ca="1" si="4"/>
        <v>1012.4875</v>
      </c>
      <c r="J103" s="139">
        <v>12496.9848</v>
      </c>
      <c r="K103" s="140">
        <v>15612.6</v>
      </c>
    </row>
    <row r="104" spans="1:11">
      <c r="B104" s="131" t="s">
        <v>188</v>
      </c>
      <c r="C104" s="154" t="s">
        <v>189</v>
      </c>
      <c r="D104" s="154"/>
      <c r="E104" s="154"/>
      <c r="F104" s="154"/>
      <c r="G104" s="154"/>
      <c r="H104" s="154"/>
      <c r="I104" s="131"/>
      <c r="J104" s="132">
        <v>9603.6815000000006</v>
      </c>
      <c r="K104" s="133">
        <f ca="1">SUM(K105:K112)</f>
        <v>11915.147999999999</v>
      </c>
    </row>
    <row r="105" spans="1:11" ht="27" customHeight="1">
      <c r="A105" t="s">
        <v>2022</v>
      </c>
      <c r="B105" s="134" t="s">
        <v>190</v>
      </c>
      <c r="C105" s="135" t="s">
        <v>104</v>
      </c>
      <c r="D105" s="136" t="s">
        <v>105</v>
      </c>
      <c r="E105" s="135" t="s">
        <v>14</v>
      </c>
      <c r="F105" s="135" t="s">
        <v>15</v>
      </c>
      <c r="G105" s="137">
        <v>7.65</v>
      </c>
      <c r="H105" s="138">
        <v>39.75</v>
      </c>
      <c r="I105" s="138">
        <f t="shared" ca="1" si="4"/>
        <v>49.6875</v>
      </c>
      <c r="J105" s="139">
        <v>307.14749999999998</v>
      </c>
      <c r="K105" s="140">
        <v>380.13</v>
      </c>
    </row>
    <row r="106" spans="1:11" ht="25.8" customHeight="1">
      <c r="A106" t="s">
        <v>2023</v>
      </c>
      <c r="B106" s="134" t="s">
        <v>191</v>
      </c>
      <c r="C106" s="135" t="s">
        <v>165</v>
      </c>
      <c r="D106" s="136" t="s">
        <v>166</v>
      </c>
      <c r="E106" s="135" t="s">
        <v>14</v>
      </c>
      <c r="F106" s="135" t="s">
        <v>15</v>
      </c>
      <c r="G106" s="137">
        <v>45.89</v>
      </c>
      <c r="H106" s="138">
        <v>65.239999999999995</v>
      </c>
      <c r="I106" s="138">
        <f t="shared" ca="1" si="4"/>
        <v>81.55</v>
      </c>
      <c r="J106" s="139">
        <v>3040.6714000000002</v>
      </c>
      <c r="K106" s="140">
        <v>3742.33</v>
      </c>
    </row>
    <row r="107" spans="1:11" ht="31.8" customHeight="1">
      <c r="A107" t="s">
        <v>2024</v>
      </c>
      <c r="B107" s="134" t="s">
        <v>192</v>
      </c>
      <c r="C107" s="135" t="s">
        <v>168</v>
      </c>
      <c r="D107" s="136" t="s">
        <v>169</v>
      </c>
      <c r="E107" s="135" t="s">
        <v>14</v>
      </c>
      <c r="F107" s="135" t="s">
        <v>112</v>
      </c>
      <c r="G107" s="137">
        <v>2.92</v>
      </c>
      <c r="H107" s="138">
        <v>14.32</v>
      </c>
      <c r="I107" s="138">
        <f t="shared" ca="1" si="4"/>
        <v>17.899999999999999</v>
      </c>
      <c r="J107" s="139">
        <v>42.194000000000003</v>
      </c>
      <c r="K107" s="140">
        <f t="shared" ca="1" si="5"/>
        <v>52.267999999999994</v>
      </c>
    </row>
    <row r="108" spans="1:11" ht="25.2" customHeight="1">
      <c r="A108" t="s">
        <v>2025</v>
      </c>
      <c r="B108" s="134" t="s">
        <v>193</v>
      </c>
      <c r="C108" s="135" t="s">
        <v>171</v>
      </c>
      <c r="D108" s="136" t="s">
        <v>172</v>
      </c>
      <c r="E108" s="135" t="s">
        <v>14</v>
      </c>
      <c r="F108" s="135" t="s">
        <v>112</v>
      </c>
      <c r="G108" s="137">
        <v>5.49</v>
      </c>
      <c r="H108" s="138">
        <v>13.15</v>
      </c>
      <c r="I108" s="138">
        <f t="shared" ca="1" si="4"/>
        <v>16.4375</v>
      </c>
      <c r="J108" s="139">
        <v>72.687600000000003</v>
      </c>
      <c r="K108" s="140">
        <v>90.26</v>
      </c>
    </row>
    <row r="109" spans="1:11" ht="25.2" customHeight="1">
      <c r="A109" t="s">
        <v>2026</v>
      </c>
      <c r="B109" s="134" t="s">
        <v>194</v>
      </c>
      <c r="C109" s="135" t="s">
        <v>174</v>
      </c>
      <c r="D109" s="136" t="s">
        <v>175</v>
      </c>
      <c r="E109" s="135" t="s">
        <v>14</v>
      </c>
      <c r="F109" s="135" t="s">
        <v>112</v>
      </c>
      <c r="G109" s="137">
        <v>132.28</v>
      </c>
      <c r="H109" s="138">
        <v>11.69</v>
      </c>
      <c r="I109" s="138">
        <f t="shared" ca="1" si="4"/>
        <v>14.612499999999999</v>
      </c>
      <c r="J109" s="139">
        <v>1555.6128000000001</v>
      </c>
      <c r="K109" s="140">
        <v>1932.61</v>
      </c>
    </row>
    <row r="110" spans="1:11" ht="22.8" customHeight="1">
      <c r="A110" t="s">
        <v>2027</v>
      </c>
      <c r="B110" s="134" t="s">
        <v>195</v>
      </c>
      <c r="C110" s="135" t="s">
        <v>120</v>
      </c>
      <c r="D110" s="136" t="s">
        <v>121</v>
      </c>
      <c r="E110" s="135" t="s">
        <v>14</v>
      </c>
      <c r="F110" s="135" t="s">
        <v>112</v>
      </c>
      <c r="G110" s="137">
        <v>22.53</v>
      </c>
      <c r="H110" s="138">
        <v>9.91</v>
      </c>
      <c r="I110" s="138">
        <f t="shared" ca="1" si="4"/>
        <v>12.387499999999999</v>
      </c>
      <c r="J110" s="139">
        <v>224.8494</v>
      </c>
      <c r="K110" s="140">
        <v>279.14999999999998</v>
      </c>
    </row>
    <row r="111" spans="1:11" ht="26.4" customHeight="1">
      <c r="A111" t="s">
        <v>2028</v>
      </c>
      <c r="B111" s="134" t="s">
        <v>196</v>
      </c>
      <c r="C111" s="135" t="s">
        <v>129</v>
      </c>
      <c r="D111" s="136" t="s">
        <v>130</v>
      </c>
      <c r="E111" s="135" t="s">
        <v>14</v>
      </c>
      <c r="F111" s="135" t="s">
        <v>112</v>
      </c>
      <c r="G111" s="137">
        <v>40.340000000000003</v>
      </c>
      <c r="H111" s="138">
        <v>15.69</v>
      </c>
      <c r="I111" s="138">
        <f t="shared" ca="1" si="4"/>
        <v>19.612500000000001</v>
      </c>
      <c r="J111" s="139">
        <v>640.5992</v>
      </c>
      <c r="K111" s="140">
        <v>791.07</v>
      </c>
    </row>
    <row r="112" spans="1:11" ht="33.6" customHeight="1">
      <c r="A112" t="s">
        <v>2029</v>
      </c>
      <c r="B112" s="134" t="s">
        <v>197</v>
      </c>
      <c r="C112" s="135" t="s">
        <v>132</v>
      </c>
      <c r="D112" s="136" t="s">
        <v>133</v>
      </c>
      <c r="E112" s="135" t="s">
        <v>14</v>
      </c>
      <c r="F112" s="135" t="s">
        <v>54</v>
      </c>
      <c r="G112" s="137">
        <v>4.59</v>
      </c>
      <c r="H112" s="138">
        <v>809.99</v>
      </c>
      <c r="I112" s="138">
        <f t="shared" ca="1" si="4"/>
        <v>1012.4875</v>
      </c>
      <c r="J112" s="139">
        <v>3719.9196000000002</v>
      </c>
      <c r="K112" s="140">
        <v>4647.33</v>
      </c>
    </row>
    <row r="113" spans="1:11">
      <c r="B113" s="131" t="s">
        <v>198</v>
      </c>
      <c r="C113" s="154" t="s">
        <v>199</v>
      </c>
      <c r="D113" s="154"/>
      <c r="E113" s="154"/>
      <c r="F113" s="154"/>
      <c r="G113" s="154"/>
      <c r="H113" s="154"/>
      <c r="I113" s="131"/>
      <c r="J113" s="132">
        <v>9529.6890999999996</v>
      </c>
      <c r="K113" s="133">
        <f>SUM(K114:K116)</f>
        <v>11796.829999999998</v>
      </c>
    </row>
    <row r="114" spans="1:11" ht="28.2" customHeight="1">
      <c r="A114" t="s">
        <v>2030</v>
      </c>
      <c r="B114" s="134" t="s">
        <v>200</v>
      </c>
      <c r="C114" s="135" t="s">
        <v>201</v>
      </c>
      <c r="D114" s="136" t="s">
        <v>202</v>
      </c>
      <c r="E114" s="135" t="s">
        <v>14</v>
      </c>
      <c r="F114" s="135" t="s">
        <v>15</v>
      </c>
      <c r="G114" s="137">
        <v>25.01</v>
      </c>
      <c r="H114" s="138">
        <v>138.44999999999999</v>
      </c>
      <c r="I114" s="138">
        <f t="shared" ca="1" si="4"/>
        <v>173.0625</v>
      </c>
      <c r="J114" s="139">
        <v>3519.4072000000001</v>
      </c>
      <c r="K114" s="140">
        <v>4328.2299999999996</v>
      </c>
    </row>
    <row r="115" spans="1:11" ht="24.6" customHeight="1">
      <c r="A115" t="s">
        <v>2031</v>
      </c>
      <c r="B115" s="134" t="s">
        <v>203</v>
      </c>
      <c r="C115" s="135" t="s">
        <v>114</v>
      </c>
      <c r="D115" s="136" t="s">
        <v>115</v>
      </c>
      <c r="E115" s="135" t="s">
        <v>14</v>
      </c>
      <c r="F115" s="135" t="s">
        <v>112</v>
      </c>
      <c r="G115" s="137">
        <v>266.49</v>
      </c>
      <c r="H115" s="138">
        <v>14.87</v>
      </c>
      <c r="I115" s="138">
        <f t="shared" ca="1" si="4"/>
        <v>18.587499999999999</v>
      </c>
      <c r="J115" s="139">
        <v>3997.35</v>
      </c>
      <c r="K115" s="140">
        <v>4954.05</v>
      </c>
    </row>
    <row r="116" spans="1:11" ht="28.2" customHeight="1">
      <c r="A116" t="s">
        <v>2032</v>
      </c>
      <c r="B116" s="134" t="s">
        <v>204</v>
      </c>
      <c r="C116" s="135" t="s">
        <v>205</v>
      </c>
      <c r="D116" s="136" t="s">
        <v>206</v>
      </c>
      <c r="E116" s="135" t="s">
        <v>14</v>
      </c>
      <c r="F116" s="135" t="s">
        <v>54</v>
      </c>
      <c r="G116" s="137">
        <v>2.87</v>
      </c>
      <c r="H116" s="138">
        <v>700.92</v>
      </c>
      <c r="I116" s="138">
        <f t="shared" ref="I116:I122" ca="1" si="6">(H116*J$5)+H116</f>
        <v>876.15</v>
      </c>
      <c r="J116" s="139">
        <v>2012.9319</v>
      </c>
      <c r="K116" s="140">
        <v>2514.5500000000002</v>
      </c>
    </row>
    <row r="117" spans="1:11">
      <c r="B117" s="131" t="s">
        <v>207</v>
      </c>
      <c r="C117" s="154" t="s">
        <v>208</v>
      </c>
      <c r="D117" s="154"/>
      <c r="E117" s="154"/>
      <c r="F117" s="154"/>
      <c r="G117" s="154"/>
      <c r="H117" s="154"/>
      <c r="I117" s="131"/>
      <c r="J117" s="132">
        <v>2005.9223999999999</v>
      </c>
      <c r="K117" s="133">
        <f ca="1">SUM(K118:K122)</f>
        <v>2486.9079999999999</v>
      </c>
    </row>
    <row r="118" spans="1:11" ht="27" customHeight="1">
      <c r="A118" t="s">
        <v>2033</v>
      </c>
      <c r="B118" s="134" t="s">
        <v>209</v>
      </c>
      <c r="C118" s="135" t="s">
        <v>104</v>
      </c>
      <c r="D118" s="136" t="s">
        <v>105</v>
      </c>
      <c r="E118" s="135" t="s">
        <v>14</v>
      </c>
      <c r="F118" s="135" t="s">
        <v>15</v>
      </c>
      <c r="G118" s="137">
        <v>1.6</v>
      </c>
      <c r="H118" s="138">
        <v>39.75</v>
      </c>
      <c r="I118" s="138">
        <f t="shared" ca="1" si="6"/>
        <v>49.6875</v>
      </c>
      <c r="J118" s="139">
        <v>64.239999999999995</v>
      </c>
      <c r="K118" s="140">
        <f t="shared" ref="K118:K122" ca="1" si="7">I118*G118</f>
        <v>79.5</v>
      </c>
    </row>
    <row r="119" spans="1:11" ht="27.6" customHeight="1">
      <c r="A119" t="s">
        <v>2034</v>
      </c>
      <c r="B119" s="134" t="s">
        <v>210</v>
      </c>
      <c r="C119" s="135" t="s">
        <v>107</v>
      </c>
      <c r="D119" s="136" t="s">
        <v>108</v>
      </c>
      <c r="E119" s="135" t="s">
        <v>14</v>
      </c>
      <c r="F119" s="135" t="s">
        <v>15</v>
      </c>
      <c r="G119" s="137">
        <v>9.6</v>
      </c>
      <c r="H119" s="138">
        <v>74.98</v>
      </c>
      <c r="I119" s="138">
        <f t="shared" ca="1" si="6"/>
        <v>93.725000000000009</v>
      </c>
      <c r="J119" s="139">
        <v>731.52</v>
      </c>
      <c r="K119" s="140">
        <v>899.81</v>
      </c>
    </row>
    <row r="120" spans="1:11" ht="31.8" customHeight="1">
      <c r="A120" t="s">
        <v>2035</v>
      </c>
      <c r="B120" s="134" t="s">
        <v>211</v>
      </c>
      <c r="C120" s="135" t="s">
        <v>174</v>
      </c>
      <c r="D120" s="136" t="s">
        <v>175</v>
      </c>
      <c r="E120" s="135" t="s">
        <v>14</v>
      </c>
      <c r="F120" s="135" t="s">
        <v>112</v>
      </c>
      <c r="G120" s="137">
        <v>22.46</v>
      </c>
      <c r="H120" s="138">
        <v>11.69</v>
      </c>
      <c r="I120" s="138">
        <f t="shared" ca="1" si="6"/>
        <v>14.612499999999999</v>
      </c>
      <c r="J120" s="139">
        <v>264.12959999999998</v>
      </c>
      <c r="K120" s="140">
        <v>328.14</v>
      </c>
    </row>
    <row r="121" spans="1:11" ht="28.8" customHeight="1">
      <c r="A121" t="s">
        <v>2036</v>
      </c>
      <c r="B121" s="134" t="s">
        <v>212</v>
      </c>
      <c r="C121" s="135" t="s">
        <v>129</v>
      </c>
      <c r="D121" s="136" t="s">
        <v>130</v>
      </c>
      <c r="E121" s="135" t="s">
        <v>14</v>
      </c>
      <c r="F121" s="135" t="s">
        <v>112</v>
      </c>
      <c r="G121" s="137">
        <v>10.58</v>
      </c>
      <c r="H121" s="138">
        <v>15.69</v>
      </c>
      <c r="I121" s="138">
        <f t="shared" ca="1" si="6"/>
        <v>19.612500000000001</v>
      </c>
      <c r="J121" s="139">
        <v>168.0104</v>
      </c>
      <c r="K121" s="140">
        <v>207.47</v>
      </c>
    </row>
    <row r="122" spans="1:11" ht="25.8" customHeight="1">
      <c r="A122" t="s">
        <v>2037</v>
      </c>
      <c r="B122" s="134" t="s">
        <v>213</v>
      </c>
      <c r="C122" s="135" t="s">
        <v>132</v>
      </c>
      <c r="D122" s="136" t="s">
        <v>133</v>
      </c>
      <c r="E122" s="135" t="s">
        <v>14</v>
      </c>
      <c r="F122" s="135" t="s">
        <v>54</v>
      </c>
      <c r="G122" s="137">
        <v>0.96</v>
      </c>
      <c r="H122" s="138">
        <v>809.99</v>
      </c>
      <c r="I122" s="138">
        <f t="shared" ca="1" si="6"/>
        <v>1012.4875</v>
      </c>
      <c r="J122" s="139">
        <v>778.02239999999995</v>
      </c>
      <c r="K122" s="140">
        <f t="shared" ca="1" si="7"/>
        <v>971.98799999999994</v>
      </c>
    </row>
    <row r="123" spans="1:11">
      <c r="B123" s="131" t="s">
        <v>214</v>
      </c>
      <c r="C123" s="154" t="s">
        <v>215</v>
      </c>
      <c r="D123" s="154"/>
      <c r="E123" s="154"/>
      <c r="F123" s="154"/>
      <c r="G123" s="154"/>
      <c r="H123" s="154"/>
      <c r="I123" s="132"/>
      <c r="J123" s="132">
        <v>2218356.5835000002</v>
      </c>
      <c r="K123" s="133">
        <f ca="1">SUM(K124,K133,K138,K143,K154,K161,K163,K169,K174,K178,K182,K184)</f>
        <v>2760221.5504999999</v>
      </c>
    </row>
    <row r="124" spans="1:11">
      <c r="B124" s="131" t="s">
        <v>216</v>
      </c>
      <c r="C124" s="154" t="s">
        <v>217</v>
      </c>
      <c r="D124" s="154"/>
      <c r="E124" s="154"/>
      <c r="F124" s="154"/>
      <c r="G124" s="154"/>
      <c r="H124" s="154"/>
      <c r="I124" s="131"/>
      <c r="J124" s="132">
        <v>225484.2922</v>
      </c>
      <c r="K124" s="133">
        <f ca="1">SUM(K125:K132)</f>
        <v>280487.04000000004</v>
      </c>
    </row>
    <row r="125" spans="1:11" ht="37.799999999999997" customHeight="1">
      <c r="A125" t="s">
        <v>216</v>
      </c>
      <c r="B125" s="134" t="s">
        <v>218</v>
      </c>
      <c r="C125" s="135" t="s">
        <v>219</v>
      </c>
      <c r="D125" s="136" t="s">
        <v>220</v>
      </c>
      <c r="E125" s="135" t="s">
        <v>14</v>
      </c>
      <c r="F125" s="135" t="s">
        <v>15</v>
      </c>
      <c r="G125" s="137">
        <v>1359.77</v>
      </c>
      <c r="H125" s="138">
        <v>45.87</v>
      </c>
      <c r="I125" s="138">
        <f t="shared" ref="I125:I183" ca="1" si="8">(H125*J$5)+H125</f>
        <v>57.337499999999999</v>
      </c>
      <c r="J125" s="139">
        <v>63093.328000000001</v>
      </c>
      <c r="K125" s="140">
        <v>77969.210000000006</v>
      </c>
    </row>
    <row r="126" spans="1:11" ht="26.4" customHeight="1">
      <c r="A126" t="s">
        <v>242</v>
      </c>
      <c r="B126" s="134" t="s">
        <v>221</v>
      </c>
      <c r="C126" s="135" t="s">
        <v>222</v>
      </c>
      <c r="D126" s="136" t="s">
        <v>223</v>
      </c>
      <c r="E126" s="135" t="s">
        <v>14</v>
      </c>
      <c r="F126" s="135" t="s">
        <v>112</v>
      </c>
      <c r="G126" s="137">
        <v>22.25</v>
      </c>
      <c r="H126" s="138">
        <v>12.18</v>
      </c>
      <c r="I126" s="138">
        <f t="shared" ca="1" si="8"/>
        <v>15.225</v>
      </c>
      <c r="J126" s="139">
        <v>272.78500000000003</v>
      </c>
      <c r="K126" s="140">
        <v>338.87</v>
      </c>
    </row>
    <row r="127" spans="1:11" ht="25.2" customHeight="1">
      <c r="A127" t="s">
        <v>248</v>
      </c>
      <c r="B127" s="134" t="s">
        <v>224</v>
      </c>
      <c r="C127" s="135" t="s">
        <v>225</v>
      </c>
      <c r="D127" s="136" t="s">
        <v>226</v>
      </c>
      <c r="E127" s="135" t="s">
        <v>14</v>
      </c>
      <c r="F127" s="135" t="s">
        <v>112</v>
      </c>
      <c r="G127" s="137">
        <v>2549.64</v>
      </c>
      <c r="H127" s="138">
        <v>10.06</v>
      </c>
      <c r="I127" s="138">
        <f t="shared" ca="1" si="8"/>
        <v>12.575000000000001</v>
      </c>
      <c r="J127" s="139">
        <v>25725.867600000001</v>
      </c>
      <c r="K127" s="140">
        <v>32074.47</v>
      </c>
    </row>
    <row r="128" spans="1:11" ht="32.4" customHeight="1">
      <c r="A128" t="s">
        <v>254</v>
      </c>
      <c r="B128" s="134" t="s">
        <v>227</v>
      </c>
      <c r="C128" s="135" t="s">
        <v>228</v>
      </c>
      <c r="D128" s="136" t="s">
        <v>229</v>
      </c>
      <c r="E128" s="135" t="s">
        <v>14</v>
      </c>
      <c r="F128" s="135" t="s">
        <v>112</v>
      </c>
      <c r="G128" s="137">
        <v>2007.03</v>
      </c>
      <c r="H128" s="138">
        <v>8.44</v>
      </c>
      <c r="I128" s="138">
        <f t="shared" ca="1" si="8"/>
        <v>10.549999999999999</v>
      </c>
      <c r="J128" s="139">
        <v>16979.4738</v>
      </c>
      <c r="K128" s="140">
        <v>21174.17</v>
      </c>
    </row>
    <row r="129" spans="1:11" ht="25.2" customHeight="1">
      <c r="A129" t="s">
        <v>274</v>
      </c>
      <c r="B129" s="134" t="s">
        <v>230</v>
      </c>
      <c r="C129" s="135" t="s">
        <v>231</v>
      </c>
      <c r="D129" s="136" t="s">
        <v>232</v>
      </c>
      <c r="E129" s="135" t="s">
        <v>14</v>
      </c>
      <c r="F129" s="135" t="s">
        <v>112</v>
      </c>
      <c r="G129" s="137">
        <v>1795.92</v>
      </c>
      <c r="H129" s="138">
        <v>8.15</v>
      </c>
      <c r="I129" s="138">
        <f t="shared" ca="1" si="8"/>
        <v>10.1875</v>
      </c>
      <c r="J129" s="139">
        <v>14654.707200000001</v>
      </c>
      <c r="K129" s="140">
        <v>18300.419999999998</v>
      </c>
    </row>
    <row r="130" spans="1:11" ht="26.4" customHeight="1">
      <c r="A130" t="s">
        <v>282</v>
      </c>
      <c r="B130" s="134" t="s">
        <v>233</v>
      </c>
      <c r="C130" s="135" t="s">
        <v>234</v>
      </c>
      <c r="D130" s="136" t="s">
        <v>235</v>
      </c>
      <c r="E130" s="135" t="s">
        <v>14</v>
      </c>
      <c r="F130" s="135" t="s">
        <v>112</v>
      </c>
      <c r="G130" s="137">
        <v>548.78</v>
      </c>
      <c r="H130" s="138">
        <v>9.1999999999999993</v>
      </c>
      <c r="I130" s="138">
        <f t="shared" ca="1" si="8"/>
        <v>11.5</v>
      </c>
      <c r="J130" s="139">
        <v>5054.2637999999997</v>
      </c>
      <c r="K130" s="140">
        <f t="shared" ref="K130:K181" ca="1" si="9">I130*G130</f>
        <v>6310.9699999999993</v>
      </c>
    </row>
    <row r="131" spans="1:11" ht="25.8" customHeight="1">
      <c r="A131" t="s">
        <v>287</v>
      </c>
      <c r="B131" s="134" t="s">
        <v>236</v>
      </c>
      <c r="C131" s="135" t="s">
        <v>237</v>
      </c>
      <c r="D131" s="136" t="s">
        <v>238</v>
      </c>
      <c r="E131" s="135" t="s">
        <v>14</v>
      </c>
      <c r="F131" s="135" t="s">
        <v>112</v>
      </c>
      <c r="G131" s="137">
        <v>2144.1799999999998</v>
      </c>
      <c r="H131" s="138">
        <v>13.06</v>
      </c>
      <c r="I131" s="138">
        <f t="shared" ca="1" si="8"/>
        <v>16.324999999999999</v>
      </c>
      <c r="J131" s="139">
        <v>28260.292399999998</v>
      </c>
      <c r="K131" s="140">
        <v>35014.46</v>
      </c>
    </row>
    <row r="132" spans="1:11" ht="26.4" customHeight="1">
      <c r="A132" t="s">
        <v>304</v>
      </c>
      <c r="B132" s="134" t="s">
        <v>239</v>
      </c>
      <c r="C132" s="135" t="s">
        <v>240</v>
      </c>
      <c r="D132" s="136" t="s">
        <v>241</v>
      </c>
      <c r="E132" s="135" t="s">
        <v>26</v>
      </c>
      <c r="F132" s="135" t="s">
        <v>54</v>
      </c>
      <c r="G132" s="137">
        <v>95.37</v>
      </c>
      <c r="H132" s="138">
        <v>749.12</v>
      </c>
      <c r="I132" s="138">
        <f t="shared" ca="1" si="8"/>
        <v>936.4</v>
      </c>
      <c r="J132" s="139">
        <v>71443.574399999998</v>
      </c>
      <c r="K132" s="140">
        <v>89304.47</v>
      </c>
    </row>
    <row r="133" spans="1:11">
      <c r="B133" s="131" t="s">
        <v>242</v>
      </c>
      <c r="C133" s="154" t="s">
        <v>243</v>
      </c>
      <c r="D133" s="154"/>
      <c r="E133" s="154"/>
      <c r="F133" s="154"/>
      <c r="G133" s="154"/>
      <c r="H133" s="154"/>
      <c r="I133" s="131"/>
      <c r="J133" s="132">
        <v>17967.633000000002</v>
      </c>
      <c r="K133" s="133">
        <f>SUM(K134:K137)</f>
        <v>22340.15</v>
      </c>
    </row>
    <row r="134" spans="1:11" ht="35.4" customHeight="1">
      <c r="A134" t="s">
        <v>316</v>
      </c>
      <c r="B134" s="134" t="s">
        <v>244</v>
      </c>
      <c r="C134" s="135" t="s">
        <v>219</v>
      </c>
      <c r="D134" s="136" t="s">
        <v>220</v>
      </c>
      <c r="E134" s="135" t="s">
        <v>14</v>
      </c>
      <c r="F134" s="135" t="s">
        <v>15</v>
      </c>
      <c r="G134" s="137">
        <v>115.71</v>
      </c>
      <c r="H134" s="138">
        <v>45.87</v>
      </c>
      <c r="I134" s="138">
        <f t="shared" ca="1" si="8"/>
        <v>57.337499999999999</v>
      </c>
      <c r="J134" s="139">
        <v>5368.9440000000004</v>
      </c>
      <c r="K134" s="140">
        <v>6634.81</v>
      </c>
    </row>
    <row r="135" spans="1:11" ht="28.8" customHeight="1">
      <c r="A135" t="s">
        <v>321</v>
      </c>
      <c r="B135" s="134" t="s">
        <v>245</v>
      </c>
      <c r="C135" s="135" t="s">
        <v>225</v>
      </c>
      <c r="D135" s="136" t="s">
        <v>226</v>
      </c>
      <c r="E135" s="135" t="s">
        <v>14</v>
      </c>
      <c r="F135" s="135" t="s">
        <v>112</v>
      </c>
      <c r="G135" s="137">
        <v>624.4</v>
      </c>
      <c r="H135" s="138">
        <v>10.06</v>
      </c>
      <c r="I135" s="138">
        <f t="shared" ca="1" si="8"/>
        <v>12.575000000000001</v>
      </c>
      <c r="J135" s="139">
        <v>6300.1959999999999</v>
      </c>
      <c r="K135" s="140">
        <v>7854.95</v>
      </c>
    </row>
    <row r="136" spans="1:11" ht="29.4" customHeight="1">
      <c r="A136" t="s">
        <v>328</v>
      </c>
      <c r="B136" s="134" t="s">
        <v>246</v>
      </c>
      <c r="C136" s="135" t="s">
        <v>237</v>
      </c>
      <c r="D136" s="136" t="s">
        <v>238</v>
      </c>
      <c r="E136" s="135" t="s">
        <v>14</v>
      </c>
      <c r="F136" s="135" t="s">
        <v>112</v>
      </c>
      <c r="G136" s="137">
        <v>156.75</v>
      </c>
      <c r="H136" s="138">
        <v>13.06</v>
      </c>
      <c r="I136" s="138">
        <f t="shared" ca="1" si="8"/>
        <v>16.324999999999999</v>
      </c>
      <c r="J136" s="139">
        <v>2065.9650000000001</v>
      </c>
      <c r="K136" s="140">
        <v>2559.73</v>
      </c>
    </row>
    <row r="137" spans="1:11" ht="30" customHeight="1">
      <c r="A137" t="s">
        <v>333</v>
      </c>
      <c r="B137" s="134" t="s">
        <v>247</v>
      </c>
      <c r="C137" s="135" t="s">
        <v>240</v>
      </c>
      <c r="D137" s="136" t="s">
        <v>241</v>
      </c>
      <c r="E137" s="135" t="s">
        <v>26</v>
      </c>
      <c r="F137" s="135" t="s">
        <v>54</v>
      </c>
      <c r="G137" s="137">
        <v>5.65</v>
      </c>
      <c r="H137" s="138">
        <v>749.12</v>
      </c>
      <c r="I137" s="138">
        <f t="shared" ca="1" si="8"/>
        <v>936.4</v>
      </c>
      <c r="J137" s="139">
        <v>4232.5280000000002</v>
      </c>
      <c r="K137" s="140">
        <v>5290.66</v>
      </c>
    </row>
    <row r="138" spans="1:11">
      <c r="B138" s="131" t="s">
        <v>248</v>
      </c>
      <c r="C138" s="154" t="s">
        <v>249</v>
      </c>
      <c r="D138" s="154"/>
      <c r="E138" s="154"/>
      <c r="F138" s="154"/>
      <c r="G138" s="154"/>
      <c r="H138" s="154"/>
      <c r="I138" s="131"/>
      <c r="J138" s="132">
        <v>2731.8814000000002</v>
      </c>
      <c r="K138" s="133">
        <f ca="1">SUM(K139:K142)</f>
        <v>3414.79</v>
      </c>
    </row>
    <row r="139" spans="1:11" ht="41.4" customHeight="1">
      <c r="A139" t="s">
        <v>2420</v>
      </c>
      <c r="B139" s="134" t="s">
        <v>250</v>
      </c>
      <c r="C139" s="135" t="s">
        <v>219</v>
      </c>
      <c r="D139" s="136" t="s">
        <v>220</v>
      </c>
      <c r="E139" s="135" t="s">
        <v>14</v>
      </c>
      <c r="F139" s="135" t="s">
        <v>15</v>
      </c>
      <c r="G139" s="137">
        <v>16</v>
      </c>
      <c r="H139" s="138">
        <v>46.4</v>
      </c>
      <c r="I139" s="138">
        <f t="shared" ca="1" si="8"/>
        <v>58</v>
      </c>
      <c r="J139" s="139">
        <v>742.4</v>
      </c>
      <c r="K139" s="140">
        <v>928</v>
      </c>
    </row>
    <row r="140" spans="1:11" ht="27" customHeight="1">
      <c r="A140" t="s">
        <v>2423</v>
      </c>
      <c r="B140" s="134" t="s">
        <v>251</v>
      </c>
      <c r="C140" s="135" t="s">
        <v>225</v>
      </c>
      <c r="D140" s="136" t="s">
        <v>226</v>
      </c>
      <c r="E140" s="135" t="s">
        <v>14</v>
      </c>
      <c r="F140" s="135" t="s">
        <v>112</v>
      </c>
      <c r="G140" s="137">
        <v>79.44</v>
      </c>
      <c r="H140" s="138">
        <v>10.09</v>
      </c>
      <c r="I140" s="138">
        <f t="shared" ca="1" si="8"/>
        <v>12.612500000000001</v>
      </c>
      <c r="J140" s="139">
        <v>801.54960000000005</v>
      </c>
      <c r="K140" s="140">
        <v>1001.74</v>
      </c>
    </row>
    <row r="141" spans="1:11" ht="26.4" customHeight="1">
      <c r="A141" t="s">
        <v>2424</v>
      </c>
      <c r="B141" s="134" t="s">
        <v>252</v>
      </c>
      <c r="C141" s="135" t="s">
        <v>237</v>
      </c>
      <c r="D141" s="136" t="s">
        <v>238</v>
      </c>
      <c r="E141" s="135" t="s">
        <v>14</v>
      </c>
      <c r="F141" s="135" t="s">
        <v>112</v>
      </c>
      <c r="G141" s="137">
        <v>27.61</v>
      </c>
      <c r="H141" s="138">
        <v>13.18</v>
      </c>
      <c r="I141" s="138">
        <f t="shared" ca="1" si="8"/>
        <v>16.475000000000001</v>
      </c>
      <c r="J141" s="139">
        <v>363.89980000000003</v>
      </c>
      <c r="K141" s="140">
        <v>455.01</v>
      </c>
    </row>
    <row r="142" spans="1:11" ht="34.200000000000003" customHeight="1">
      <c r="A142" t="s">
        <v>2425</v>
      </c>
      <c r="B142" s="134" t="s">
        <v>253</v>
      </c>
      <c r="C142" s="135" t="s">
        <v>240</v>
      </c>
      <c r="D142" s="136" t="s">
        <v>241</v>
      </c>
      <c r="E142" s="135" t="s">
        <v>26</v>
      </c>
      <c r="F142" s="135" t="s">
        <v>54</v>
      </c>
      <c r="G142" s="137">
        <v>1.1000000000000001</v>
      </c>
      <c r="H142" s="138">
        <v>749.12</v>
      </c>
      <c r="I142" s="138">
        <f t="shared" ca="1" si="8"/>
        <v>936.4</v>
      </c>
      <c r="J142" s="139">
        <v>824.03200000000004</v>
      </c>
      <c r="K142" s="140">
        <f t="shared" ca="1" si="9"/>
        <v>1030.04</v>
      </c>
    </row>
    <row r="143" spans="1:11">
      <c r="B143" s="131" t="s">
        <v>254</v>
      </c>
      <c r="C143" s="154" t="s">
        <v>255</v>
      </c>
      <c r="D143" s="154"/>
      <c r="E143" s="154"/>
      <c r="F143" s="154"/>
      <c r="G143" s="154"/>
      <c r="H143" s="154"/>
      <c r="I143" s="131"/>
      <c r="J143" s="132">
        <v>368456.84590000001</v>
      </c>
      <c r="K143" s="133">
        <f ca="1">SUM(K144:K153)</f>
        <v>458326.05800000008</v>
      </c>
    </row>
    <row r="144" spans="1:11" ht="31.8" customHeight="1">
      <c r="A144" t="s">
        <v>2426</v>
      </c>
      <c r="B144" s="134" t="s">
        <v>256</v>
      </c>
      <c r="C144" s="135" t="s">
        <v>257</v>
      </c>
      <c r="D144" s="136" t="s">
        <v>258</v>
      </c>
      <c r="E144" s="135" t="s">
        <v>14</v>
      </c>
      <c r="F144" s="135" t="s">
        <v>15</v>
      </c>
      <c r="G144" s="137">
        <v>1910.58</v>
      </c>
      <c r="H144" s="138">
        <v>67.48</v>
      </c>
      <c r="I144" s="138">
        <f t="shared" ca="1" si="8"/>
        <v>84.350000000000009</v>
      </c>
      <c r="J144" s="139">
        <v>130167.81540000001</v>
      </c>
      <c r="K144" s="140">
        <v>161157.42000000001</v>
      </c>
    </row>
    <row r="145" spans="1:11" ht="31.2" customHeight="1">
      <c r="A145" t="s">
        <v>2430</v>
      </c>
      <c r="B145" s="134" t="s">
        <v>259</v>
      </c>
      <c r="C145" s="135" t="s">
        <v>222</v>
      </c>
      <c r="D145" s="136" t="s">
        <v>223</v>
      </c>
      <c r="E145" s="135" t="s">
        <v>14</v>
      </c>
      <c r="F145" s="135" t="s">
        <v>112</v>
      </c>
      <c r="G145" s="137">
        <v>254.09</v>
      </c>
      <c r="H145" s="138">
        <v>12.18</v>
      </c>
      <c r="I145" s="138">
        <f t="shared" ca="1" si="8"/>
        <v>15.225</v>
      </c>
      <c r="J145" s="139">
        <v>3115.1433999999999</v>
      </c>
      <c r="K145" s="140">
        <v>3869.79</v>
      </c>
    </row>
    <row r="146" spans="1:11" ht="28.8" customHeight="1">
      <c r="A146" t="s">
        <v>2431</v>
      </c>
      <c r="B146" s="134" t="s">
        <v>260</v>
      </c>
      <c r="C146" s="135" t="s">
        <v>261</v>
      </c>
      <c r="D146" s="136" t="s">
        <v>262</v>
      </c>
      <c r="E146" s="135" t="s">
        <v>14</v>
      </c>
      <c r="F146" s="135" t="s">
        <v>112</v>
      </c>
      <c r="G146" s="137">
        <v>1850.93</v>
      </c>
      <c r="H146" s="138">
        <v>11.31</v>
      </c>
      <c r="I146" s="138">
        <f t="shared" ca="1" si="8"/>
        <v>14.137500000000001</v>
      </c>
      <c r="J146" s="139">
        <v>21026.5648</v>
      </c>
      <c r="K146" s="140">
        <v>26172.15</v>
      </c>
    </row>
    <row r="147" spans="1:11" ht="25.8" customHeight="1">
      <c r="A147" t="s">
        <v>2432</v>
      </c>
      <c r="B147" s="134" t="s">
        <v>263</v>
      </c>
      <c r="C147" s="135" t="s">
        <v>225</v>
      </c>
      <c r="D147" s="136" t="s">
        <v>226</v>
      </c>
      <c r="E147" s="135" t="s">
        <v>14</v>
      </c>
      <c r="F147" s="135" t="s">
        <v>112</v>
      </c>
      <c r="G147" s="137">
        <v>2894.68</v>
      </c>
      <c r="H147" s="138">
        <v>10.06</v>
      </c>
      <c r="I147" s="138">
        <f t="shared" ca="1" si="8"/>
        <v>12.575000000000001</v>
      </c>
      <c r="J147" s="139">
        <v>29207.321199999998</v>
      </c>
      <c r="K147" s="140">
        <v>36415.07</v>
      </c>
    </row>
    <row r="148" spans="1:11" ht="24" customHeight="1">
      <c r="A148" t="s">
        <v>2433</v>
      </c>
      <c r="B148" s="134" t="s">
        <v>264</v>
      </c>
      <c r="C148" s="135" t="s">
        <v>228</v>
      </c>
      <c r="D148" s="136" t="s">
        <v>229</v>
      </c>
      <c r="E148" s="135" t="s">
        <v>14</v>
      </c>
      <c r="F148" s="135" t="s">
        <v>112</v>
      </c>
      <c r="G148" s="137">
        <v>2382.96</v>
      </c>
      <c r="H148" s="138">
        <v>8.44</v>
      </c>
      <c r="I148" s="138">
        <f t="shared" ca="1" si="8"/>
        <v>10.549999999999999</v>
      </c>
      <c r="J148" s="139">
        <v>20159.8416</v>
      </c>
      <c r="K148" s="140">
        <f t="shared" ca="1" si="9"/>
        <v>25140.227999999999</v>
      </c>
    </row>
    <row r="149" spans="1:11" ht="24" customHeight="1">
      <c r="A149" t="s">
        <v>2434</v>
      </c>
      <c r="B149" s="134" t="s">
        <v>265</v>
      </c>
      <c r="C149" s="135" t="s">
        <v>231</v>
      </c>
      <c r="D149" s="136" t="s">
        <v>232</v>
      </c>
      <c r="E149" s="135" t="s">
        <v>14</v>
      </c>
      <c r="F149" s="135" t="s">
        <v>112</v>
      </c>
      <c r="G149" s="137">
        <v>2127.2199999999998</v>
      </c>
      <c r="H149" s="138">
        <v>8.15</v>
      </c>
      <c r="I149" s="138">
        <f t="shared" ca="1" si="8"/>
        <v>10.1875</v>
      </c>
      <c r="J149" s="139">
        <v>17358.1152</v>
      </c>
      <c r="K149" s="140">
        <v>21676.37</v>
      </c>
    </row>
    <row r="150" spans="1:11" ht="27.6" customHeight="1">
      <c r="A150" t="s">
        <v>2421</v>
      </c>
      <c r="B150" s="134" t="s">
        <v>266</v>
      </c>
      <c r="C150" s="135" t="s">
        <v>234</v>
      </c>
      <c r="D150" s="136" t="s">
        <v>235</v>
      </c>
      <c r="E150" s="135" t="s">
        <v>14</v>
      </c>
      <c r="F150" s="135" t="s">
        <v>112</v>
      </c>
      <c r="G150" s="137">
        <v>493.86</v>
      </c>
      <c r="H150" s="138">
        <v>9.1999999999999993</v>
      </c>
      <c r="I150" s="138">
        <f t="shared" ca="1" si="8"/>
        <v>11.5</v>
      </c>
      <c r="J150" s="139">
        <v>4548.4506000000001</v>
      </c>
      <c r="K150" s="140">
        <v>5679.39</v>
      </c>
    </row>
    <row r="151" spans="1:11" ht="27" customHeight="1">
      <c r="A151" t="s">
        <v>2435</v>
      </c>
      <c r="B151" s="134" t="s">
        <v>267</v>
      </c>
      <c r="C151" s="135" t="s">
        <v>268</v>
      </c>
      <c r="D151" s="136" t="s">
        <v>269</v>
      </c>
      <c r="E151" s="135" t="s">
        <v>14</v>
      </c>
      <c r="F151" s="135" t="s">
        <v>112</v>
      </c>
      <c r="G151" s="137">
        <v>377.69</v>
      </c>
      <c r="H151" s="138">
        <v>9.09</v>
      </c>
      <c r="I151" s="138">
        <f t="shared" ca="1" si="8"/>
        <v>11.362500000000001</v>
      </c>
      <c r="J151" s="139">
        <v>3440.7559000000001</v>
      </c>
      <c r="K151" s="140">
        <v>4290.5600000000004</v>
      </c>
    </row>
    <row r="152" spans="1:11" ht="24" customHeight="1">
      <c r="A152" t="s">
        <v>2436</v>
      </c>
      <c r="B152" s="134" t="s">
        <v>270</v>
      </c>
      <c r="C152" s="135" t="s">
        <v>237</v>
      </c>
      <c r="D152" s="136" t="s">
        <v>238</v>
      </c>
      <c r="E152" s="135" t="s">
        <v>14</v>
      </c>
      <c r="F152" s="135" t="s">
        <v>112</v>
      </c>
      <c r="G152" s="137">
        <v>2521.46</v>
      </c>
      <c r="H152" s="138">
        <v>13.06</v>
      </c>
      <c r="I152" s="138">
        <f t="shared" ca="1" si="8"/>
        <v>16.324999999999999</v>
      </c>
      <c r="J152" s="139">
        <v>33232.842799999999</v>
      </c>
      <c r="K152" s="140">
        <v>41175.440000000002</v>
      </c>
    </row>
    <row r="153" spans="1:11" ht="27.6" customHeight="1">
      <c r="A153" t="s">
        <v>2427</v>
      </c>
      <c r="B153" s="134" t="s">
        <v>271</v>
      </c>
      <c r="C153" s="135" t="s">
        <v>272</v>
      </c>
      <c r="D153" s="136" t="s">
        <v>273</v>
      </c>
      <c r="E153" s="135" t="s">
        <v>26</v>
      </c>
      <c r="F153" s="135" t="s">
        <v>54</v>
      </c>
      <c r="G153" s="137">
        <v>141.5</v>
      </c>
      <c r="H153" s="138">
        <v>750.53</v>
      </c>
      <c r="I153" s="138">
        <f t="shared" ca="1" si="8"/>
        <v>938.16249999999991</v>
      </c>
      <c r="J153" s="139">
        <v>106199.995</v>
      </c>
      <c r="K153" s="140">
        <v>132749.64000000001</v>
      </c>
    </row>
    <row r="154" spans="1:11">
      <c r="B154" s="131" t="s">
        <v>274</v>
      </c>
      <c r="C154" s="154" t="s">
        <v>275</v>
      </c>
      <c r="D154" s="154"/>
      <c r="E154" s="154"/>
      <c r="F154" s="154"/>
      <c r="G154" s="154"/>
      <c r="H154" s="154"/>
      <c r="I154" s="131"/>
      <c r="J154" s="132">
        <v>142858.23689999999</v>
      </c>
      <c r="K154" s="133">
        <f>SUM(K155:K160)</f>
        <v>177611.52999999997</v>
      </c>
    </row>
    <row r="155" spans="1:11" ht="25.8" customHeight="1">
      <c r="A155" t="s">
        <v>2437</v>
      </c>
      <c r="B155" s="134" t="s">
        <v>276</v>
      </c>
      <c r="C155" s="135" t="s">
        <v>257</v>
      </c>
      <c r="D155" s="136" t="s">
        <v>258</v>
      </c>
      <c r="E155" s="135" t="s">
        <v>14</v>
      </c>
      <c r="F155" s="135" t="s">
        <v>15</v>
      </c>
      <c r="G155" s="137">
        <v>1095.93</v>
      </c>
      <c r="H155" s="138">
        <v>67.48</v>
      </c>
      <c r="I155" s="138">
        <f t="shared" ca="1" si="8"/>
        <v>84.350000000000009</v>
      </c>
      <c r="J155" s="139">
        <v>74665.710900000005</v>
      </c>
      <c r="K155" s="140">
        <v>92441.7</v>
      </c>
    </row>
    <row r="156" spans="1:11" ht="29.4" customHeight="1">
      <c r="A156" t="s">
        <v>2438</v>
      </c>
      <c r="B156" s="134" t="s">
        <v>277</v>
      </c>
      <c r="C156" s="135" t="s">
        <v>261</v>
      </c>
      <c r="D156" s="136" t="s">
        <v>262</v>
      </c>
      <c r="E156" s="135" t="s">
        <v>14</v>
      </c>
      <c r="F156" s="135" t="s">
        <v>112</v>
      </c>
      <c r="G156" s="137">
        <v>525.94000000000005</v>
      </c>
      <c r="H156" s="138">
        <v>11.31</v>
      </c>
      <c r="I156" s="138">
        <f t="shared" ca="1" si="8"/>
        <v>14.137500000000001</v>
      </c>
      <c r="J156" s="139">
        <v>5974.6783999999998</v>
      </c>
      <c r="K156" s="140">
        <v>7436.79</v>
      </c>
    </row>
    <row r="157" spans="1:11" ht="25.2" customHeight="1">
      <c r="A157" t="s">
        <v>2439</v>
      </c>
      <c r="B157" s="134" t="s">
        <v>278</v>
      </c>
      <c r="C157" s="135" t="s">
        <v>225</v>
      </c>
      <c r="D157" s="136" t="s">
        <v>226</v>
      </c>
      <c r="E157" s="135" t="s">
        <v>14</v>
      </c>
      <c r="F157" s="135" t="s">
        <v>112</v>
      </c>
      <c r="G157" s="137">
        <v>41.74</v>
      </c>
      <c r="H157" s="138">
        <v>10.06</v>
      </c>
      <c r="I157" s="138">
        <f t="shared" ca="1" si="8"/>
        <v>12.575000000000001</v>
      </c>
      <c r="J157" s="139">
        <v>421.15660000000003</v>
      </c>
      <c r="K157" s="140">
        <v>525.09</v>
      </c>
    </row>
    <row r="158" spans="1:11" ht="29.4" customHeight="1">
      <c r="A158" t="s">
        <v>2440</v>
      </c>
      <c r="B158" s="134" t="s">
        <v>279</v>
      </c>
      <c r="C158" s="135" t="s">
        <v>228</v>
      </c>
      <c r="D158" s="136" t="s">
        <v>229</v>
      </c>
      <c r="E158" s="135" t="s">
        <v>14</v>
      </c>
      <c r="F158" s="135" t="s">
        <v>112</v>
      </c>
      <c r="G158" s="137">
        <v>3.47</v>
      </c>
      <c r="H158" s="138">
        <v>8.44</v>
      </c>
      <c r="I158" s="138">
        <f t="shared" ca="1" si="8"/>
        <v>10.549999999999999</v>
      </c>
      <c r="J158" s="139">
        <v>29.356200000000001</v>
      </c>
      <c r="K158" s="140">
        <v>36.61</v>
      </c>
    </row>
    <row r="159" spans="1:11" ht="25.2" customHeight="1">
      <c r="A159" t="s">
        <v>2441</v>
      </c>
      <c r="B159" s="134" t="s">
        <v>280</v>
      </c>
      <c r="C159" s="135" t="s">
        <v>237</v>
      </c>
      <c r="D159" s="136" t="s">
        <v>238</v>
      </c>
      <c r="E159" s="135" t="s">
        <v>14</v>
      </c>
      <c r="F159" s="135" t="s">
        <v>112</v>
      </c>
      <c r="G159" s="137">
        <v>259.57</v>
      </c>
      <c r="H159" s="138">
        <v>13.06</v>
      </c>
      <c r="I159" s="138">
        <f t="shared" ca="1" si="8"/>
        <v>16.324999999999999</v>
      </c>
      <c r="J159" s="139">
        <v>3421.1325999999999</v>
      </c>
      <c r="K159" s="140">
        <v>4238.78</v>
      </c>
    </row>
    <row r="160" spans="1:11" ht="27" customHeight="1">
      <c r="A160" t="s">
        <v>2442</v>
      </c>
      <c r="B160" s="134" t="s">
        <v>281</v>
      </c>
      <c r="C160" s="135" t="s">
        <v>272</v>
      </c>
      <c r="D160" s="136" t="s">
        <v>273</v>
      </c>
      <c r="E160" s="135" t="s">
        <v>26</v>
      </c>
      <c r="F160" s="135" t="s">
        <v>54</v>
      </c>
      <c r="G160" s="137">
        <v>77.739999999999995</v>
      </c>
      <c r="H160" s="138">
        <v>750.53</v>
      </c>
      <c r="I160" s="138">
        <f t="shared" ca="1" si="8"/>
        <v>938.16249999999991</v>
      </c>
      <c r="J160" s="139">
        <v>58346.2022</v>
      </c>
      <c r="K160" s="140">
        <v>72932.56</v>
      </c>
    </row>
    <row r="161" spans="1:11">
      <c r="B161" s="131" t="s">
        <v>282</v>
      </c>
      <c r="C161" s="154" t="s">
        <v>283</v>
      </c>
      <c r="D161" s="154"/>
      <c r="E161" s="154"/>
      <c r="F161" s="154"/>
      <c r="G161" s="154"/>
      <c r="H161" s="154"/>
      <c r="I161" s="131"/>
      <c r="J161" s="132">
        <v>11831.616</v>
      </c>
      <c r="K161" s="133">
        <f>SUM(K162)</f>
        <v>14704.9</v>
      </c>
    </row>
    <row r="162" spans="1:11">
      <c r="A162" t="s">
        <v>2422</v>
      </c>
      <c r="B162" s="134" t="s">
        <v>284</v>
      </c>
      <c r="C162" s="135" t="s">
        <v>285</v>
      </c>
      <c r="D162" s="136" t="s">
        <v>286</v>
      </c>
      <c r="E162" s="135" t="s">
        <v>14</v>
      </c>
      <c r="F162" s="135" t="s">
        <v>30</v>
      </c>
      <c r="G162" s="137">
        <v>393.6</v>
      </c>
      <c r="H162" s="138">
        <v>29.89</v>
      </c>
      <c r="I162" s="138">
        <f t="shared" ca="1" si="8"/>
        <v>37.362499999999997</v>
      </c>
      <c r="J162" s="139">
        <v>11831.616</v>
      </c>
      <c r="K162" s="140">
        <v>14704.9</v>
      </c>
    </row>
    <row r="163" spans="1:11">
      <c r="B163" s="131" t="s">
        <v>287</v>
      </c>
      <c r="C163" s="154" t="s">
        <v>288</v>
      </c>
      <c r="D163" s="154"/>
      <c r="E163" s="154"/>
      <c r="F163" s="154"/>
      <c r="G163" s="154"/>
      <c r="H163" s="154"/>
      <c r="I163" s="131"/>
      <c r="J163" s="132">
        <v>50029.825599999996</v>
      </c>
      <c r="K163" s="133">
        <f ca="1">SUM(K164:K168)</f>
        <v>62430.188000000002</v>
      </c>
    </row>
    <row r="164" spans="1:11" ht="26.4" customHeight="1">
      <c r="A164" t="s">
        <v>2443</v>
      </c>
      <c r="B164" s="134" t="s">
        <v>289</v>
      </c>
      <c r="C164" s="135" t="s">
        <v>290</v>
      </c>
      <c r="D164" s="136" t="s">
        <v>291</v>
      </c>
      <c r="E164" s="135" t="s">
        <v>14</v>
      </c>
      <c r="F164" s="135" t="s">
        <v>15</v>
      </c>
      <c r="G164" s="137">
        <v>5.04</v>
      </c>
      <c r="H164" s="138">
        <v>37.96</v>
      </c>
      <c r="I164" s="138">
        <f t="shared" ca="1" si="8"/>
        <v>47.45</v>
      </c>
      <c r="J164" s="139">
        <v>193.2336</v>
      </c>
      <c r="K164" s="140">
        <f t="shared" ca="1" si="9"/>
        <v>239.14800000000002</v>
      </c>
    </row>
    <row r="165" spans="1:11" ht="18.600000000000001" customHeight="1">
      <c r="A165" t="s">
        <v>2444</v>
      </c>
      <c r="B165" s="134" t="s">
        <v>292</v>
      </c>
      <c r="C165" s="135" t="s">
        <v>293</v>
      </c>
      <c r="D165" s="136" t="s">
        <v>294</v>
      </c>
      <c r="E165" s="135" t="s">
        <v>14</v>
      </c>
      <c r="F165" s="135" t="s">
        <v>15</v>
      </c>
      <c r="G165" s="137">
        <v>416</v>
      </c>
      <c r="H165" s="138">
        <v>2.46</v>
      </c>
      <c r="I165" s="138">
        <f t="shared" ca="1" si="8"/>
        <v>3.0750000000000002</v>
      </c>
      <c r="J165" s="139">
        <v>1027.52</v>
      </c>
      <c r="K165" s="140">
        <v>1281.28</v>
      </c>
    </row>
    <row r="166" spans="1:11" ht="27" customHeight="1">
      <c r="A166" t="s">
        <v>2428</v>
      </c>
      <c r="B166" s="134" t="s">
        <v>295</v>
      </c>
      <c r="C166" s="135" t="s">
        <v>296</v>
      </c>
      <c r="D166" s="136" t="s">
        <v>297</v>
      </c>
      <c r="E166" s="135" t="s">
        <v>14</v>
      </c>
      <c r="F166" s="135" t="s">
        <v>112</v>
      </c>
      <c r="G166" s="137">
        <v>615.67999999999995</v>
      </c>
      <c r="H166" s="138">
        <v>16.47</v>
      </c>
      <c r="I166" s="138">
        <f t="shared" ca="1" si="8"/>
        <v>20.587499999999999</v>
      </c>
      <c r="J166" s="139">
        <v>10158.719999999999</v>
      </c>
      <c r="K166" s="140">
        <v>12676.85</v>
      </c>
    </row>
    <row r="167" spans="1:11" ht="17.399999999999999" customHeight="1">
      <c r="A167" t="s">
        <v>2445</v>
      </c>
      <c r="B167" s="134" t="s">
        <v>298</v>
      </c>
      <c r="C167" s="135" t="s">
        <v>299</v>
      </c>
      <c r="D167" s="136" t="s">
        <v>300</v>
      </c>
      <c r="E167" s="135" t="s">
        <v>14</v>
      </c>
      <c r="F167" s="135" t="s">
        <v>15</v>
      </c>
      <c r="G167" s="137">
        <v>416</v>
      </c>
      <c r="H167" s="138">
        <v>82.35</v>
      </c>
      <c r="I167" s="138">
        <f t="shared" ca="1" si="8"/>
        <v>102.9375</v>
      </c>
      <c r="J167" s="139">
        <v>34295.040000000001</v>
      </c>
      <c r="K167" s="140">
        <v>42823.040000000001</v>
      </c>
    </row>
    <row r="168" spans="1:11" ht="24" customHeight="1">
      <c r="A168" t="s">
        <v>2446</v>
      </c>
      <c r="B168" s="134" t="s">
        <v>301</v>
      </c>
      <c r="C168" s="135" t="s">
        <v>302</v>
      </c>
      <c r="D168" s="136" t="s">
        <v>303</v>
      </c>
      <c r="E168" s="135" t="s">
        <v>14</v>
      </c>
      <c r="F168" s="135" t="s">
        <v>54</v>
      </c>
      <c r="G168" s="137">
        <v>20.8</v>
      </c>
      <c r="H168" s="138">
        <v>208.07</v>
      </c>
      <c r="I168" s="138">
        <f t="shared" ca="1" si="8"/>
        <v>260.08749999999998</v>
      </c>
      <c r="J168" s="139">
        <v>4355.3119999999999</v>
      </c>
      <c r="K168" s="140">
        <v>5409.87</v>
      </c>
    </row>
    <row r="169" spans="1:11">
      <c r="B169" s="131" t="s">
        <v>304</v>
      </c>
      <c r="C169" s="154" t="s">
        <v>305</v>
      </c>
      <c r="D169" s="154"/>
      <c r="E169" s="154"/>
      <c r="F169" s="154"/>
      <c r="G169" s="154"/>
      <c r="H169" s="154"/>
      <c r="I169" s="131"/>
      <c r="J169" s="132">
        <v>32268.175599999999</v>
      </c>
      <c r="K169" s="133">
        <f>SUM(K170:K173)</f>
        <v>40135.289999999994</v>
      </c>
    </row>
    <row r="170" spans="1:11" ht="28.8" customHeight="1">
      <c r="A170" t="s">
        <v>2447</v>
      </c>
      <c r="B170" s="134" t="s">
        <v>306</v>
      </c>
      <c r="C170" s="135" t="s">
        <v>307</v>
      </c>
      <c r="D170" s="136" t="s">
        <v>308</v>
      </c>
      <c r="E170" s="135" t="s">
        <v>14</v>
      </c>
      <c r="F170" s="135" t="s">
        <v>15</v>
      </c>
      <c r="G170" s="137">
        <v>247.59</v>
      </c>
      <c r="H170" s="138">
        <v>47.38</v>
      </c>
      <c r="I170" s="138">
        <f t="shared" ca="1" si="8"/>
        <v>59.225000000000001</v>
      </c>
      <c r="J170" s="139">
        <v>11852.1333</v>
      </c>
      <c r="K170" s="140">
        <v>14664.76</v>
      </c>
    </row>
    <row r="171" spans="1:11" ht="27.6" customHeight="1">
      <c r="A171" t="s">
        <v>2448</v>
      </c>
      <c r="B171" s="134" t="s">
        <v>309</v>
      </c>
      <c r="C171" s="135" t="s">
        <v>310</v>
      </c>
      <c r="D171" s="136" t="s">
        <v>311</v>
      </c>
      <c r="E171" s="135" t="s">
        <v>14</v>
      </c>
      <c r="F171" s="135" t="s">
        <v>112</v>
      </c>
      <c r="G171" s="137">
        <v>274.41000000000003</v>
      </c>
      <c r="H171" s="138">
        <v>11.66</v>
      </c>
      <c r="I171" s="138">
        <f t="shared" ca="1" si="8"/>
        <v>14.574999999999999</v>
      </c>
      <c r="J171" s="139">
        <v>3218.8292999999999</v>
      </c>
      <c r="K171" s="140">
        <v>4000.9</v>
      </c>
    </row>
    <row r="172" spans="1:11" ht="27" customHeight="1">
      <c r="A172" t="s">
        <v>2449</v>
      </c>
      <c r="B172" s="134" t="s">
        <v>312</v>
      </c>
      <c r="C172" s="135" t="s">
        <v>313</v>
      </c>
      <c r="D172" s="136" t="s">
        <v>314</v>
      </c>
      <c r="E172" s="135" t="s">
        <v>14</v>
      </c>
      <c r="F172" s="135" t="s">
        <v>112</v>
      </c>
      <c r="G172" s="137">
        <v>202.52</v>
      </c>
      <c r="H172" s="138">
        <v>12.54</v>
      </c>
      <c r="I172" s="138">
        <f t="shared" ca="1" si="8"/>
        <v>15.674999999999999</v>
      </c>
      <c r="J172" s="139">
        <v>2561.8780000000002</v>
      </c>
      <c r="K172" s="140">
        <v>3175.51</v>
      </c>
    </row>
    <row r="173" spans="1:11" ht="27" customHeight="1">
      <c r="A173" t="s">
        <v>2450</v>
      </c>
      <c r="B173" s="134" t="s">
        <v>315</v>
      </c>
      <c r="C173" s="135" t="s">
        <v>272</v>
      </c>
      <c r="D173" s="136" t="s">
        <v>273</v>
      </c>
      <c r="E173" s="135" t="s">
        <v>26</v>
      </c>
      <c r="F173" s="135" t="s">
        <v>54</v>
      </c>
      <c r="G173" s="137">
        <v>19.5</v>
      </c>
      <c r="H173" s="138">
        <v>750.53</v>
      </c>
      <c r="I173" s="138">
        <f t="shared" ca="1" si="8"/>
        <v>938.16249999999991</v>
      </c>
      <c r="J173" s="139">
        <v>14635.334999999999</v>
      </c>
      <c r="K173" s="140">
        <v>18294.12</v>
      </c>
    </row>
    <row r="174" spans="1:11">
      <c r="B174" s="131" t="s">
        <v>316</v>
      </c>
      <c r="C174" s="154" t="s">
        <v>317</v>
      </c>
      <c r="D174" s="154"/>
      <c r="E174" s="154"/>
      <c r="F174" s="154"/>
      <c r="G174" s="154"/>
      <c r="H174" s="154"/>
      <c r="I174" s="131"/>
      <c r="J174" s="132">
        <v>1353.3423</v>
      </c>
      <c r="K174" s="133">
        <f>SUM(K175:K177)</f>
        <v>1682.84</v>
      </c>
    </row>
    <row r="175" spans="1:11" ht="26.4" customHeight="1">
      <c r="A175" t="s">
        <v>2451</v>
      </c>
      <c r="B175" s="134" t="s">
        <v>318</v>
      </c>
      <c r="C175" s="135" t="s">
        <v>307</v>
      </c>
      <c r="D175" s="136" t="s">
        <v>308</v>
      </c>
      <c r="E175" s="135" t="s">
        <v>14</v>
      </c>
      <c r="F175" s="135" t="s">
        <v>15</v>
      </c>
      <c r="G175" s="137">
        <v>10.46</v>
      </c>
      <c r="H175" s="138">
        <v>47.38</v>
      </c>
      <c r="I175" s="138">
        <f t="shared" ca="1" si="8"/>
        <v>59.225000000000001</v>
      </c>
      <c r="J175" s="139">
        <v>500.72019999999998</v>
      </c>
      <c r="K175" s="140">
        <v>619.54999999999995</v>
      </c>
    </row>
    <row r="176" spans="1:11" ht="26.4" customHeight="1">
      <c r="A176" t="s">
        <v>2452</v>
      </c>
      <c r="B176" s="134" t="s">
        <v>319</v>
      </c>
      <c r="C176" s="135" t="s">
        <v>313</v>
      </c>
      <c r="D176" s="136" t="s">
        <v>314</v>
      </c>
      <c r="E176" s="135" t="s">
        <v>14</v>
      </c>
      <c r="F176" s="135" t="s">
        <v>112</v>
      </c>
      <c r="G176" s="137">
        <v>18.75</v>
      </c>
      <c r="H176" s="138">
        <v>12.54</v>
      </c>
      <c r="I176" s="138">
        <f t="shared" ca="1" si="8"/>
        <v>15.674999999999999</v>
      </c>
      <c r="J176" s="139">
        <v>237.1875</v>
      </c>
      <c r="K176" s="140">
        <v>294</v>
      </c>
    </row>
    <row r="177" spans="1:11" ht="25.2" customHeight="1">
      <c r="A177" t="s">
        <v>2453</v>
      </c>
      <c r="B177" s="134" t="s">
        <v>320</v>
      </c>
      <c r="C177" s="135" t="s">
        <v>272</v>
      </c>
      <c r="D177" s="136" t="s">
        <v>273</v>
      </c>
      <c r="E177" s="135" t="s">
        <v>26</v>
      </c>
      <c r="F177" s="135" t="s">
        <v>54</v>
      </c>
      <c r="G177" s="137">
        <v>0.82</v>
      </c>
      <c r="H177" s="138">
        <v>750.53</v>
      </c>
      <c r="I177" s="138">
        <f t="shared" ca="1" si="8"/>
        <v>938.16249999999991</v>
      </c>
      <c r="J177" s="139">
        <v>615.43460000000005</v>
      </c>
      <c r="K177" s="140">
        <v>769.29</v>
      </c>
    </row>
    <row r="178" spans="1:11">
      <c r="B178" s="131" t="s">
        <v>321</v>
      </c>
      <c r="C178" s="154" t="s">
        <v>322</v>
      </c>
      <c r="D178" s="154"/>
      <c r="E178" s="154"/>
      <c r="F178" s="154"/>
      <c r="G178" s="154"/>
      <c r="H178" s="154"/>
      <c r="I178" s="131"/>
      <c r="J178" s="132">
        <v>1193.0834</v>
      </c>
      <c r="K178" s="133">
        <f ca="1">SUM(K179:K181)</f>
        <v>1486.1945000000001</v>
      </c>
    </row>
    <row r="179" spans="1:11" ht="26.4" customHeight="1">
      <c r="A179" t="s">
        <v>2429</v>
      </c>
      <c r="B179" s="134" t="s">
        <v>323</v>
      </c>
      <c r="C179" s="135" t="s">
        <v>307</v>
      </c>
      <c r="D179" s="136" t="s">
        <v>308</v>
      </c>
      <c r="E179" s="135" t="s">
        <v>14</v>
      </c>
      <c r="F179" s="135" t="s">
        <v>15</v>
      </c>
      <c r="G179" s="137">
        <v>4.51</v>
      </c>
      <c r="H179" s="138">
        <v>47.38</v>
      </c>
      <c r="I179" s="138">
        <f t="shared" ca="1" si="8"/>
        <v>59.225000000000001</v>
      </c>
      <c r="J179" s="139">
        <v>215.8937</v>
      </c>
      <c r="K179" s="140">
        <v>267.13</v>
      </c>
    </row>
    <row r="180" spans="1:11" ht="25.2" customHeight="1">
      <c r="A180" t="s">
        <v>2454</v>
      </c>
      <c r="B180" s="134" t="s">
        <v>324</v>
      </c>
      <c r="C180" s="135" t="s">
        <v>325</v>
      </c>
      <c r="D180" s="136" t="s">
        <v>326</v>
      </c>
      <c r="E180" s="135" t="s">
        <v>14</v>
      </c>
      <c r="F180" s="135" t="s">
        <v>112</v>
      </c>
      <c r="G180" s="137">
        <v>62.21</v>
      </c>
      <c r="H180" s="138">
        <v>10.83</v>
      </c>
      <c r="I180" s="138">
        <f t="shared" ca="1" si="8"/>
        <v>13.5375</v>
      </c>
      <c r="J180" s="139">
        <v>675.60059999999999</v>
      </c>
      <c r="K180" s="140">
        <v>842.32</v>
      </c>
    </row>
    <row r="181" spans="1:11" ht="26.4" customHeight="1">
      <c r="A181" t="s">
        <v>2455</v>
      </c>
      <c r="B181" s="134" t="s">
        <v>327</v>
      </c>
      <c r="C181" s="135" t="s">
        <v>205</v>
      </c>
      <c r="D181" s="136" t="s">
        <v>206</v>
      </c>
      <c r="E181" s="135" t="s">
        <v>14</v>
      </c>
      <c r="F181" s="135" t="s">
        <v>54</v>
      </c>
      <c r="G181" s="137">
        <v>0.43</v>
      </c>
      <c r="H181" s="138">
        <v>700.92</v>
      </c>
      <c r="I181" s="138">
        <f t="shared" ca="1" si="8"/>
        <v>876.15</v>
      </c>
      <c r="J181" s="139">
        <v>301.58909999999997</v>
      </c>
      <c r="K181" s="140">
        <f t="shared" ca="1" si="9"/>
        <v>376.74449999999996</v>
      </c>
    </row>
    <row r="182" spans="1:11">
      <c r="B182" s="131" t="s">
        <v>328</v>
      </c>
      <c r="C182" s="154" t="s">
        <v>329</v>
      </c>
      <c r="D182" s="154"/>
      <c r="E182" s="154"/>
      <c r="F182" s="154"/>
      <c r="G182" s="154"/>
      <c r="H182" s="154"/>
      <c r="I182" s="131"/>
      <c r="J182" s="132">
        <v>1071589.1669999999</v>
      </c>
      <c r="K182" s="133">
        <f>SUM(K183)</f>
        <v>1333375.48</v>
      </c>
    </row>
    <row r="183" spans="1:11" ht="30.6">
      <c r="A183" t="s">
        <v>2456</v>
      </c>
      <c r="B183" s="134" t="s">
        <v>330</v>
      </c>
      <c r="C183" s="135" t="s">
        <v>331</v>
      </c>
      <c r="D183" s="136" t="s">
        <v>332</v>
      </c>
      <c r="E183" s="135" t="s">
        <v>14</v>
      </c>
      <c r="F183" s="135" t="s">
        <v>112</v>
      </c>
      <c r="G183" s="137">
        <v>78851.3</v>
      </c>
      <c r="H183" s="138">
        <v>13.53</v>
      </c>
      <c r="I183" s="138">
        <f t="shared" ca="1" si="8"/>
        <v>16.912499999999998</v>
      </c>
      <c r="J183" s="139">
        <v>1071589.1669999999</v>
      </c>
      <c r="K183" s="140">
        <v>1333375.48</v>
      </c>
    </row>
    <row r="184" spans="1:11">
      <c r="B184" s="131" t="s">
        <v>333</v>
      </c>
      <c r="C184" s="154" t="s">
        <v>334</v>
      </c>
      <c r="D184" s="154"/>
      <c r="E184" s="154"/>
      <c r="F184" s="154"/>
      <c r="G184" s="154"/>
      <c r="H184" s="154"/>
      <c r="I184" s="131"/>
      <c r="J184" s="132">
        <v>292592.48420000001</v>
      </c>
      <c r="K184" s="133">
        <f>SUM(K185,K190)</f>
        <v>364227.09</v>
      </c>
    </row>
    <row r="185" spans="1:11">
      <c r="B185" s="131" t="s">
        <v>335</v>
      </c>
      <c r="C185" s="154" t="s">
        <v>336</v>
      </c>
      <c r="D185" s="154"/>
      <c r="E185" s="154"/>
      <c r="F185" s="154"/>
      <c r="G185" s="154"/>
      <c r="H185" s="154"/>
      <c r="I185" s="131"/>
      <c r="J185" s="132">
        <v>228712.97039999999</v>
      </c>
      <c r="K185" s="133">
        <f>SUM(K186:K189)</f>
        <v>284708.14</v>
      </c>
    </row>
    <row r="186" spans="1:11" ht="27" customHeight="1">
      <c r="A186" t="s">
        <v>2457</v>
      </c>
      <c r="B186" s="134" t="s">
        <v>337</v>
      </c>
      <c r="C186" s="135" t="s">
        <v>338</v>
      </c>
      <c r="D186" s="136" t="s">
        <v>339</v>
      </c>
      <c r="E186" s="135" t="s">
        <v>14</v>
      </c>
      <c r="F186" s="135" t="s">
        <v>15</v>
      </c>
      <c r="G186" s="137">
        <v>3086.32</v>
      </c>
      <c r="H186" s="138">
        <v>3.13</v>
      </c>
      <c r="I186" s="138">
        <f t="shared" ref="I186:I194" ca="1" si="10">(H186*J$5)+H186</f>
        <v>3.9124999999999996</v>
      </c>
      <c r="J186" s="139">
        <v>9876.2240000000002</v>
      </c>
      <c r="K186" s="140">
        <v>12067.51</v>
      </c>
    </row>
    <row r="187" spans="1:11" ht="25.2" customHeight="1">
      <c r="A187" t="s">
        <v>2458</v>
      </c>
      <c r="B187" s="134" t="s">
        <v>340</v>
      </c>
      <c r="C187" s="135" t="s">
        <v>341</v>
      </c>
      <c r="D187" s="136" t="s">
        <v>342</v>
      </c>
      <c r="E187" s="135" t="s">
        <v>14</v>
      </c>
      <c r="F187" s="135" t="s">
        <v>54</v>
      </c>
      <c r="G187" s="137">
        <v>154.32</v>
      </c>
      <c r="H187" s="138">
        <v>245.31</v>
      </c>
      <c r="I187" s="138">
        <f t="shared" ca="1" si="10"/>
        <v>306.63749999999999</v>
      </c>
      <c r="J187" s="139">
        <v>38106.2376</v>
      </c>
      <c r="K187" s="140">
        <v>47320.68</v>
      </c>
    </row>
    <row r="188" spans="1:11" ht="25.8" customHeight="1">
      <c r="A188" t="s">
        <v>2459</v>
      </c>
      <c r="B188" s="134" t="s">
        <v>343</v>
      </c>
      <c r="C188" s="135" t="s">
        <v>344</v>
      </c>
      <c r="D188" s="136" t="s">
        <v>345</v>
      </c>
      <c r="E188" s="135" t="s">
        <v>14</v>
      </c>
      <c r="F188" s="135" t="s">
        <v>15</v>
      </c>
      <c r="G188" s="137">
        <v>3086.32</v>
      </c>
      <c r="H188" s="138">
        <v>2.5</v>
      </c>
      <c r="I188" s="138">
        <f t="shared" ca="1" si="10"/>
        <v>3.125</v>
      </c>
      <c r="J188" s="139">
        <v>7777.5263999999997</v>
      </c>
      <c r="K188" s="140">
        <v>9660.18</v>
      </c>
    </row>
    <row r="189" spans="1:11" ht="28.2" customHeight="1">
      <c r="A189" t="s">
        <v>2460</v>
      </c>
      <c r="B189" s="134" t="s">
        <v>346</v>
      </c>
      <c r="C189" s="135" t="s">
        <v>347</v>
      </c>
      <c r="D189" s="136" t="s">
        <v>348</v>
      </c>
      <c r="E189" s="135" t="s">
        <v>14</v>
      </c>
      <c r="F189" s="135" t="s">
        <v>54</v>
      </c>
      <c r="G189" s="137">
        <v>216.04</v>
      </c>
      <c r="H189" s="138">
        <v>798.59</v>
      </c>
      <c r="I189" s="138">
        <f t="shared" ca="1" si="10"/>
        <v>998.23750000000007</v>
      </c>
      <c r="J189" s="139">
        <v>172952.98240000001</v>
      </c>
      <c r="K189" s="140">
        <v>215659.77</v>
      </c>
    </row>
    <row r="190" spans="1:11">
      <c r="B190" s="131" t="s">
        <v>349</v>
      </c>
      <c r="C190" s="154" t="s">
        <v>350</v>
      </c>
      <c r="D190" s="154"/>
      <c r="E190" s="154"/>
      <c r="F190" s="154"/>
      <c r="G190" s="154"/>
      <c r="H190" s="154"/>
      <c r="I190" s="131"/>
      <c r="J190" s="132">
        <v>63879.513800000001</v>
      </c>
      <c r="K190" s="133">
        <f>SUM(K191:K194)</f>
        <v>79518.95</v>
      </c>
    </row>
    <row r="191" spans="1:11" ht="30" customHeight="1">
      <c r="A191" t="s">
        <v>2461</v>
      </c>
      <c r="B191" s="134" t="s">
        <v>351</v>
      </c>
      <c r="C191" s="135" t="s">
        <v>338</v>
      </c>
      <c r="D191" s="136" t="s">
        <v>339</v>
      </c>
      <c r="E191" s="135" t="s">
        <v>14</v>
      </c>
      <c r="F191" s="135" t="s">
        <v>15</v>
      </c>
      <c r="G191" s="137">
        <v>862.07</v>
      </c>
      <c r="H191" s="138">
        <v>3.13</v>
      </c>
      <c r="I191" s="138">
        <f t="shared" ca="1" si="10"/>
        <v>3.9124999999999996</v>
      </c>
      <c r="J191" s="139">
        <v>2758.6239999999998</v>
      </c>
      <c r="K191" s="140">
        <v>3370.69</v>
      </c>
    </row>
    <row r="192" spans="1:11" ht="28.2" customHeight="1">
      <c r="A192" t="s">
        <v>2462</v>
      </c>
      <c r="B192" s="134" t="s">
        <v>352</v>
      </c>
      <c r="C192" s="135" t="s">
        <v>341</v>
      </c>
      <c r="D192" s="136" t="s">
        <v>342</v>
      </c>
      <c r="E192" s="135" t="s">
        <v>14</v>
      </c>
      <c r="F192" s="135" t="s">
        <v>54</v>
      </c>
      <c r="G192" s="137">
        <v>43.1</v>
      </c>
      <c r="H192" s="138">
        <v>245.31</v>
      </c>
      <c r="I192" s="138">
        <f t="shared" ca="1" si="10"/>
        <v>306.63749999999999</v>
      </c>
      <c r="J192" s="139">
        <v>10642.683000000001</v>
      </c>
      <c r="K192" s="140">
        <v>13216.18</v>
      </c>
    </row>
    <row r="193" spans="1:11" ht="28.2" customHeight="1">
      <c r="A193" t="s">
        <v>2463</v>
      </c>
      <c r="B193" s="134" t="s">
        <v>353</v>
      </c>
      <c r="C193" s="135" t="s">
        <v>344</v>
      </c>
      <c r="D193" s="136" t="s">
        <v>345</v>
      </c>
      <c r="E193" s="135" t="s">
        <v>14</v>
      </c>
      <c r="F193" s="135" t="s">
        <v>15</v>
      </c>
      <c r="G193" s="137">
        <v>862.07</v>
      </c>
      <c r="H193" s="138">
        <v>2.5</v>
      </c>
      <c r="I193" s="138">
        <f t="shared" ca="1" si="10"/>
        <v>3.125</v>
      </c>
      <c r="J193" s="139">
        <v>2172.4164000000001</v>
      </c>
      <c r="K193" s="140">
        <v>2698.28</v>
      </c>
    </row>
    <row r="194" spans="1:11" ht="25.2" customHeight="1">
      <c r="A194" t="s">
        <v>2464</v>
      </c>
      <c r="B194" s="134" t="s">
        <v>354</v>
      </c>
      <c r="C194" s="135" t="s">
        <v>347</v>
      </c>
      <c r="D194" s="136" t="s">
        <v>348</v>
      </c>
      <c r="E194" s="135" t="s">
        <v>14</v>
      </c>
      <c r="F194" s="135" t="s">
        <v>54</v>
      </c>
      <c r="G194" s="137">
        <v>60.34</v>
      </c>
      <c r="H194" s="138">
        <v>798.59</v>
      </c>
      <c r="I194" s="138">
        <f t="shared" ca="1" si="10"/>
        <v>998.23750000000007</v>
      </c>
      <c r="J194" s="139">
        <v>48305.790399999998</v>
      </c>
      <c r="K194" s="140">
        <v>60233.8</v>
      </c>
    </row>
    <row r="195" spans="1:11">
      <c r="B195" s="131" t="s">
        <v>355</v>
      </c>
      <c r="C195" s="154" t="s">
        <v>356</v>
      </c>
      <c r="D195" s="154"/>
      <c r="E195" s="154"/>
      <c r="F195" s="154"/>
      <c r="G195" s="154"/>
      <c r="H195" s="154"/>
      <c r="I195" s="131"/>
      <c r="J195" s="132">
        <v>362713.0171</v>
      </c>
      <c r="K195" s="133">
        <f>SUM(K196,K198,K204,K210)</f>
        <v>449687.94</v>
      </c>
    </row>
    <row r="196" spans="1:11">
      <c r="B196" s="131" t="s">
        <v>357</v>
      </c>
      <c r="C196" s="154" t="s">
        <v>358</v>
      </c>
      <c r="D196" s="154"/>
      <c r="E196" s="154"/>
      <c r="F196" s="154"/>
      <c r="G196" s="154"/>
      <c r="H196" s="154"/>
      <c r="I196" s="131"/>
      <c r="J196" s="132">
        <v>28943.896400000001</v>
      </c>
      <c r="K196" s="133">
        <f>SUM(K197)</f>
        <v>35888.17</v>
      </c>
    </row>
    <row r="197" spans="1:11" ht="27.6" customHeight="1">
      <c r="B197" s="134" t="s">
        <v>359</v>
      </c>
      <c r="C197" s="135" t="s">
        <v>360</v>
      </c>
      <c r="D197" s="136" t="s">
        <v>361</v>
      </c>
      <c r="E197" s="135" t="s">
        <v>14</v>
      </c>
      <c r="F197" s="135" t="s">
        <v>15</v>
      </c>
      <c r="G197" s="137">
        <v>128.36000000000001</v>
      </c>
      <c r="H197" s="138">
        <v>223.67</v>
      </c>
      <c r="I197" s="138">
        <f t="shared" ref="I197" ca="1" si="11">(H197*J$5)+H197</f>
        <v>279.58749999999998</v>
      </c>
      <c r="J197" s="139">
        <v>28943.896400000001</v>
      </c>
      <c r="K197" s="140">
        <v>35888.17</v>
      </c>
    </row>
    <row r="198" spans="1:11">
      <c r="B198" s="131" t="s">
        <v>362</v>
      </c>
      <c r="C198" s="154" t="s">
        <v>363</v>
      </c>
      <c r="D198" s="154"/>
      <c r="E198" s="154"/>
      <c r="F198" s="154"/>
      <c r="G198" s="154"/>
      <c r="H198" s="154"/>
      <c r="I198" s="131"/>
      <c r="J198" s="132">
        <v>206767.42019999999</v>
      </c>
      <c r="K198" s="133">
        <f>SUM(K199:K203)</f>
        <v>255717.28</v>
      </c>
    </row>
    <row r="199" spans="1:11" ht="30" customHeight="1">
      <c r="B199" s="134" t="s">
        <v>364</v>
      </c>
      <c r="C199" s="135" t="s">
        <v>365</v>
      </c>
      <c r="D199" s="136" t="s">
        <v>366</v>
      </c>
      <c r="E199" s="135" t="s">
        <v>14</v>
      </c>
      <c r="F199" s="135" t="s">
        <v>15</v>
      </c>
      <c r="G199" s="137">
        <v>2336.19</v>
      </c>
      <c r="H199" s="138">
        <v>75.099999999999994</v>
      </c>
      <c r="I199" s="138">
        <f t="shared" ref="I199:I214" ca="1" si="12">(H199*J$5)+H199</f>
        <v>93.875</v>
      </c>
      <c r="J199" s="139">
        <v>177293.45910000001</v>
      </c>
      <c r="K199" s="140">
        <v>219321.52</v>
      </c>
    </row>
    <row r="200" spans="1:11" ht="26.4" customHeight="1">
      <c r="B200" s="134" t="s">
        <v>367</v>
      </c>
      <c r="C200" s="135" t="s">
        <v>368</v>
      </c>
      <c r="D200" s="136" t="s">
        <v>369</v>
      </c>
      <c r="E200" s="135" t="s">
        <v>14</v>
      </c>
      <c r="F200" s="135" t="s">
        <v>15</v>
      </c>
      <c r="G200" s="137">
        <v>375.19</v>
      </c>
      <c r="H200" s="138">
        <v>55.94</v>
      </c>
      <c r="I200" s="138">
        <f t="shared" ca="1" si="12"/>
        <v>69.924999999999997</v>
      </c>
      <c r="J200" s="139">
        <v>21194.483100000001</v>
      </c>
      <c r="K200" s="140">
        <v>26237.040000000001</v>
      </c>
    </row>
    <row r="201" spans="1:11" ht="28.2" customHeight="1">
      <c r="B201" s="134" t="s">
        <v>370</v>
      </c>
      <c r="C201" s="135" t="s">
        <v>371</v>
      </c>
      <c r="D201" s="136" t="s">
        <v>372</v>
      </c>
      <c r="E201" s="135" t="s">
        <v>14</v>
      </c>
      <c r="F201" s="135" t="s">
        <v>15</v>
      </c>
      <c r="G201" s="137">
        <v>9.36</v>
      </c>
      <c r="H201" s="138">
        <v>91.62</v>
      </c>
      <c r="I201" s="138">
        <f t="shared" ca="1" si="12"/>
        <v>114.52500000000001</v>
      </c>
      <c r="J201" s="139">
        <v>866.26800000000003</v>
      </c>
      <c r="K201" s="140">
        <v>1072</v>
      </c>
    </row>
    <row r="202" spans="1:11" ht="28.2" customHeight="1">
      <c r="B202" s="134" t="s">
        <v>373</v>
      </c>
      <c r="C202" s="135" t="s">
        <v>374</v>
      </c>
      <c r="D202" s="136" t="s">
        <v>375</v>
      </c>
      <c r="E202" s="135" t="s">
        <v>14</v>
      </c>
      <c r="F202" s="135" t="s">
        <v>15</v>
      </c>
      <c r="G202" s="137">
        <v>6.85</v>
      </c>
      <c r="H202" s="138">
        <v>87.86</v>
      </c>
      <c r="I202" s="138">
        <f t="shared" ca="1" si="12"/>
        <v>109.825</v>
      </c>
      <c r="J202" s="139">
        <v>611.70500000000004</v>
      </c>
      <c r="K202" s="140">
        <v>752.34</v>
      </c>
    </row>
    <row r="203" spans="1:11" ht="25.8" customHeight="1">
      <c r="B203" s="134" t="s">
        <v>376</v>
      </c>
      <c r="C203" s="135" t="s">
        <v>377</v>
      </c>
      <c r="D203" s="136" t="s">
        <v>378</v>
      </c>
      <c r="E203" s="135" t="s">
        <v>14</v>
      </c>
      <c r="F203" s="135" t="s">
        <v>30</v>
      </c>
      <c r="G203" s="137">
        <v>1015.15</v>
      </c>
      <c r="H203" s="138">
        <v>6.57</v>
      </c>
      <c r="I203" s="138">
        <f t="shared" ca="1" si="12"/>
        <v>8.2125000000000004</v>
      </c>
      <c r="J203" s="139">
        <v>6801.5050000000001</v>
      </c>
      <c r="K203" s="140">
        <v>8334.3799999999992</v>
      </c>
    </row>
    <row r="204" spans="1:11">
      <c r="B204" s="131" t="s">
        <v>379</v>
      </c>
      <c r="C204" s="154" t="s">
        <v>380</v>
      </c>
      <c r="D204" s="154"/>
      <c r="E204" s="154"/>
      <c r="F204" s="154"/>
      <c r="G204" s="154"/>
      <c r="H204" s="154"/>
      <c r="I204" s="131"/>
      <c r="J204" s="132">
        <v>87484.152600000001</v>
      </c>
      <c r="K204" s="133">
        <f>SUM(K205:K209)</f>
        <v>109188.66999999998</v>
      </c>
    </row>
    <row r="205" spans="1:11" ht="24" customHeight="1">
      <c r="B205" s="134" t="s">
        <v>381</v>
      </c>
      <c r="C205" s="135" t="s">
        <v>382</v>
      </c>
      <c r="D205" s="136" t="s">
        <v>383</v>
      </c>
      <c r="E205" s="135" t="s">
        <v>14</v>
      </c>
      <c r="F205" s="135" t="s">
        <v>15</v>
      </c>
      <c r="G205" s="137">
        <v>42.5</v>
      </c>
      <c r="H205" s="138">
        <v>660.73</v>
      </c>
      <c r="I205" s="138">
        <f t="shared" ca="1" si="12"/>
        <v>825.91250000000002</v>
      </c>
      <c r="J205" s="139">
        <v>28189.4</v>
      </c>
      <c r="K205" s="140">
        <v>35101.18</v>
      </c>
    </row>
    <row r="206" spans="1:11" ht="20.399999999999999" customHeight="1">
      <c r="B206" s="134" t="s">
        <v>384</v>
      </c>
      <c r="C206" s="135" t="s">
        <v>385</v>
      </c>
      <c r="D206" s="136" t="s">
        <v>386</v>
      </c>
      <c r="E206" s="135" t="s">
        <v>26</v>
      </c>
      <c r="F206" s="135" t="s">
        <v>15</v>
      </c>
      <c r="G206" s="137">
        <v>39.74</v>
      </c>
      <c r="H206" s="138">
        <v>588.24</v>
      </c>
      <c r="I206" s="138">
        <f t="shared" ca="1" si="12"/>
        <v>735.3</v>
      </c>
      <c r="J206" s="139">
        <v>23376.657599999999</v>
      </c>
      <c r="K206" s="140">
        <v>29220.82</v>
      </c>
    </row>
    <row r="207" spans="1:11" ht="28.2" customHeight="1">
      <c r="B207" s="134" t="s">
        <v>387</v>
      </c>
      <c r="C207" s="135" t="s">
        <v>388</v>
      </c>
      <c r="D207" s="136" t="s">
        <v>389</v>
      </c>
      <c r="E207" s="135" t="s">
        <v>14</v>
      </c>
      <c r="F207" s="135" t="s">
        <v>15</v>
      </c>
      <c r="G207" s="137">
        <v>101.79</v>
      </c>
      <c r="H207" s="138">
        <v>61.7</v>
      </c>
      <c r="I207" s="138">
        <f t="shared" ca="1" si="12"/>
        <v>77.125</v>
      </c>
      <c r="J207" s="139">
        <v>6306.9084000000003</v>
      </c>
      <c r="K207" s="140">
        <v>7851.06</v>
      </c>
    </row>
    <row r="208" spans="1:11" ht="19.8" customHeight="1">
      <c r="B208" s="134" t="s">
        <v>390</v>
      </c>
      <c r="C208" s="135" t="s">
        <v>391</v>
      </c>
      <c r="D208" s="136" t="s">
        <v>392</v>
      </c>
      <c r="E208" s="135" t="s">
        <v>26</v>
      </c>
      <c r="F208" s="135" t="s">
        <v>15</v>
      </c>
      <c r="G208" s="137">
        <v>7.2</v>
      </c>
      <c r="H208" s="138">
        <v>319.54000000000002</v>
      </c>
      <c r="I208" s="138">
        <f t="shared" ca="1" si="12"/>
        <v>399.42500000000001</v>
      </c>
      <c r="J208" s="139">
        <v>2300.6880000000001</v>
      </c>
      <c r="K208" s="140">
        <v>2875.9</v>
      </c>
    </row>
    <row r="209" spans="2:11">
      <c r="B209" s="134" t="s">
        <v>393</v>
      </c>
      <c r="C209" s="135" t="s">
        <v>394</v>
      </c>
      <c r="D209" s="136" t="s">
        <v>395</v>
      </c>
      <c r="E209" s="135" t="s">
        <v>26</v>
      </c>
      <c r="F209" s="135" t="s">
        <v>15</v>
      </c>
      <c r="G209" s="137">
        <v>318.23</v>
      </c>
      <c r="H209" s="138">
        <v>85.82</v>
      </c>
      <c r="I209" s="138">
        <f t="shared" ca="1" si="12"/>
        <v>107.27499999999999</v>
      </c>
      <c r="J209" s="139">
        <v>27310.498599999999</v>
      </c>
      <c r="K209" s="140">
        <v>34139.71</v>
      </c>
    </row>
    <row r="210" spans="2:11">
      <c r="B210" s="131" t="s">
        <v>396</v>
      </c>
      <c r="C210" s="154" t="s">
        <v>397</v>
      </c>
      <c r="D210" s="154"/>
      <c r="E210" s="154"/>
      <c r="F210" s="154"/>
      <c r="G210" s="154"/>
      <c r="H210" s="154"/>
      <c r="I210" s="131"/>
      <c r="J210" s="132">
        <v>39517.547899999998</v>
      </c>
      <c r="K210" s="133">
        <f>SUM(K211:K214)</f>
        <v>48893.82</v>
      </c>
    </row>
    <row r="211" spans="2:11" ht="26.4" customHeight="1">
      <c r="B211" s="134" t="s">
        <v>398</v>
      </c>
      <c r="C211" s="135" t="s">
        <v>365</v>
      </c>
      <c r="D211" s="136" t="s">
        <v>366</v>
      </c>
      <c r="E211" s="135" t="s">
        <v>14</v>
      </c>
      <c r="F211" s="135" t="s">
        <v>15</v>
      </c>
      <c r="G211" s="137">
        <v>11.6</v>
      </c>
      <c r="H211" s="142">
        <v>75.099999999999994</v>
      </c>
      <c r="I211" s="138">
        <f t="shared" ca="1" si="12"/>
        <v>93.875</v>
      </c>
      <c r="J211" s="139">
        <v>880.32399999999996</v>
      </c>
      <c r="K211" s="140">
        <v>1089.01</v>
      </c>
    </row>
    <row r="212" spans="2:11" ht="27" customHeight="1">
      <c r="B212" s="134" t="s">
        <v>399</v>
      </c>
      <c r="C212" s="135" t="s">
        <v>368</v>
      </c>
      <c r="D212" s="136" t="s">
        <v>369</v>
      </c>
      <c r="E212" s="135" t="s">
        <v>14</v>
      </c>
      <c r="F212" s="135" t="s">
        <v>15</v>
      </c>
      <c r="G212" s="137">
        <v>646.54999999999995</v>
      </c>
      <c r="H212" s="138">
        <v>55.94</v>
      </c>
      <c r="I212" s="138">
        <f t="shared" ca="1" si="12"/>
        <v>69.924999999999997</v>
      </c>
      <c r="J212" s="139">
        <v>36523.609499999999</v>
      </c>
      <c r="K212" s="140">
        <v>45213.24</v>
      </c>
    </row>
    <row r="213" spans="2:11" ht="27.6" customHeight="1">
      <c r="B213" s="134" t="s">
        <v>400</v>
      </c>
      <c r="C213" s="135" t="s">
        <v>377</v>
      </c>
      <c r="D213" s="136" t="s">
        <v>378</v>
      </c>
      <c r="E213" s="135" t="s">
        <v>14</v>
      </c>
      <c r="F213" s="135" t="s">
        <v>30</v>
      </c>
      <c r="G213" s="137">
        <v>296.41000000000003</v>
      </c>
      <c r="H213" s="138">
        <v>6.57</v>
      </c>
      <c r="I213" s="138">
        <f t="shared" ca="1" si="12"/>
        <v>8.2125000000000004</v>
      </c>
      <c r="J213" s="139">
        <v>1985.9469999999999</v>
      </c>
      <c r="K213" s="140">
        <v>2433.5300000000002</v>
      </c>
    </row>
    <row r="214" spans="2:11" ht="25.2" customHeight="1">
      <c r="B214" s="134" t="s">
        <v>401</v>
      </c>
      <c r="C214" s="135" t="s">
        <v>368</v>
      </c>
      <c r="D214" s="136" t="s">
        <v>369</v>
      </c>
      <c r="E214" s="135" t="s">
        <v>14</v>
      </c>
      <c r="F214" s="135" t="s">
        <v>15</v>
      </c>
      <c r="G214" s="137">
        <v>2.2599999999999998</v>
      </c>
      <c r="H214" s="138">
        <v>55.94</v>
      </c>
      <c r="I214" s="138">
        <f t="shared" ca="1" si="12"/>
        <v>69.924999999999997</v>
      </c>
      <c r="J214" s="139">
        <v>127.6674</v>
      </c>
      <c r="K214" s="140">
        <v>158.04</v>
      </c>
    </row>
    <row r="215" spans="2:11">
      <c r="B215" s="131" t="s">
        <v>402</v>
      </c>
      <c r="C215" s="154" t="s">
        <v>403</v>
      </c>
      <c r="D215" s="154"/>
      <c r="E215" s="154"/>
      <c r="F215" s="154"/>
      <c r="G215" s="154"/>
      <c r="H215" s="154"/>
      <c r="I215" s="131"/>
      <c r="J215" s="132">
        <v>588631.01670000004</v>
      </c>
      <c r="K215" s="133">
        <f ca="1">SUM(K216,K221,K225,K237,K254)</f>
        <v>723726.0774999999</v>
      </c>
    </row>
    <row r="216" spans="2:11">
      <c r="B216" s="131" t="s">
        <v>404</v>
      </c>
      <c r="C216" s="154" t="s">
        <v>405</v>
      </c>
      <c r="D216" s="154"/>
      <c r="E216" s="154"/>
      <c r="F216" s="154"/>
      <c r="G216" s="154"/>
      <c r="H216" s="154"/>
      <c r="I216" s="131"/>
      <c r="J216" s="132">
        <v>45197.962800000001</v>
      </c>
      <c r="K216" s="133">
        <f ca="1">SUM(K217:K220)</f>
        <v>56497.593500000003</v>
      </c>
    </row>
    <row r="217" spans="2:11" ht="38.4" customHeight="1">
      <c r="B217" s="134" t="s">
        <v>406</v>
      </c>
      <c r="C217" s="135" t="s">
        <v>407</v>
      </c>
      <c r="D217" s="136" t="s">
        <v>408</v>
      </c>
      <c r="E217" s="135" t="s">
        <v>26</v>
      </c>
      <c r="F217" s="135" t="s">
        <v>22</v>
      </c>
      <c r="G217" s="137">
        <v>18</v>
      </c>
      <c r="H217" s="138">
        <v>1087.8599999999999</v>
      </c>
      <c r="I217" s="138">
        <f t="shared" ref="I217:I261" ca="1" si="13">(H217*J$5)+H217</f>
        <v>1359.8249999999998</v>
      </c>
      <c r="J217" s="139">
        <v>19581.48</v>
      </c>
      <c r="K217" s="140">
        <v>24476.94</v>
      </c>
    </row>
    <row r="218" spans="2:11" ht="36" customHeight="1">
      <c r="B218" s="134" t="s">
        <v>409</v>
      </c>
      <c r="C218" s="135" t="s">
        <v>410</v>
      </c>
      <c r="D218" s="136" t="s">
        <v>411</v>
      </c>
      <c r="E218" s="135" t="s">
        <v>26</v>
      </c>
      <c r="F218" s="135" t="s">
        <v>22</v>
      </c>
      <c r="G218" s="137">
        <v>6</v>
      </c>
      <c r="H218" s="138">
        <v>1807.05</v>
      </c>
      <c r="I218" s="138">
        <f t="shared" ca="1" si="13"/>
        <v>2258.8125</v>
      </c>
      <c r="J218" s="139">
        <v>10842.3</v>
      </c>
      <c r="K218" s="140">
        <v>13552.86</v>
      </c>
    </row>
    <row r="219" spans="2:11" ht="36.6" customHeight="1">
      <c r="B219" s="134" t="s">
        <v>412</v>
      </c>
      <c r="C219" s="135" t="s">
        <v>413</v>
      </c>
      <c r="D219" s="136" t="s">
        <v>414</v>
      </c>
      <c r="E219" s="135" t="s">
        <v>26</v>
      </c>
      <c r="F219" s="135" t="s">
        <v>22</v>
      </c>
      <c r="G219" s="137">
        <v>13</v>
      </c>
      <c r="H219" s="138">
        <v>1087.8599999999999</v>
      </c>
      <c r="I219" s="138">
        <f t="shared" ca="1" si="13"/>
        <v>1359.8249999999998</v>
      </c>
      <c r="J219" s="139">
        <v>14142.18</v>
      </c>
      <c r="K219" s="140">
        <v>17677.79</v>
      </c>
    </row>
    <row r="220" spans="2:11" ht="25.8" customHeight="1">
      <c r="B220" s="134" t="s">
        <v>415</v>
      </c>
      <c r="C220" s="135" t="s">
        <v>416</v>
      </c>
      <c r="D220" s="136" t="s">
        <v>417</v>
      </c>
      <c r="E220" s="135" t="s">
        <v>26</v>
      </c>
      <c r="F220" s="135" t="s">
        <v>15</v>
      </c>
      <c r="G220" s="137">
        <v>3.19</v>
      </c>
      <c r="H220" s="138">
        <v>198.12</v>
      </c>
      <c r="I220" s="138">
        <f t="shared" ca="1" si="13"/>
        <v>247.65</v>
      </c>
      <c r="J220" s="139">
        <v>632.00279999999998</v>
      </c>
      <c r="K220" s="140">
        <f t="shared" ref="K220:K261" ca="1" si="14">I220*G220</f>
        <v>790.00350000000003</v>
      </c>
    </row>
    <row r="221" spans="2:11">
      <c r="B221" s="131" t="s">
        <v>418</v>
      </c>
      <c r="C221" s="154" t="s">
        <v>419</v>
      </c>
      <c r="D221" s="154"/>
      <c r="E221" s="154"/>
      <c r="F221" s="154"/>
      <c r="G221" s="154"/>
      <c r="H221" s="154"/>
      <c r="I221" s="131"/>
      <c r="J221" s="132">
        <v>6372.0028000000002</v>
      </c>
      <c r="K221" s="133">
        <f>SUM(K222:K224)</f>
        <v>7936.9699999999993</v>
      </c>
    </row>
    <row r="222" spans="2:11">
      <c r="B222" s="134" t="s">
        <v>420</v>
      </c>
      <c r="C222" s="135" t="s">
        <v>421</v>
      </c>
      <c r="D222" s="136" t="s">
        <v>422</v>
      </c>
      <c r="E222" s="135" t="s">
        <v>14</v>
      </c>
      <c r="F222" s="135" t="s">
        <v>22</v>
      </c>
      <c r="G222" s="137">
        <v>20</v>
      </c>
      <c r="H222" s="138">
        <v>84.5</v>
      </c>
      <c r="I222" s="138">
        <f t="shared" ca="1" si="13"/>
        <v>105.625</v>
      </c>
      <c r="J222" s="139">
        <v>1708</v>
      </c>
      <c r="K222" s="140">
        <v>2112.6</v>
      </c>
    </row>
    <row r="223" spans="2:11" ht="28.8" customHeight="1">
      <c r="B223" s="134" t="s">
        <v>423</v>
      </c>
      <c r="C223" s="135" t="s">
        <v>424</v>
      </c>
      <c r="D223" s="136" t="s">
        <v>425</v>
      </c>
      <c r="E223" s="135" t="s">
        <v>14</v>
      </c>
      <c r="F223" s="135" t="s">
        <v>22</v>
      </c>
      <c r="G223" s="137">
        <v>6</v>
      </c>
      <c r="H223" s="138">
        <v>353.02</v>
      </c>
      <c r="I223" s="138">
        <f t="shared" ca="1" si="13"/>
        <v>441.27499999999998</v>
      </c>
      <c r="J223" s="139">
        <v>2122.6799999999998</v>
      </c>
      <c r="K223" s="140">
        <v>2647.68</v>
      </c>
    </row>
    <row r="224" spans="2:11">
      <c r="B224" s="134" t="s">
        <v>426</v>
      </c>
      <c r="C224" s="135" t="s">
        <v>427</v>
      </c>
      <c r="D224" s="136" t="s">
        <v>428</v>
      </c>
      <c r="E224" s="135" t="s">
        <v>26</v>
      </c>
      <c r="F224" s="135" t="s">
        <v>429</v>
      </c>
      <c r="G224" s="137">
        <v>13.32</v>
      </c>
      <c r="H224" s="138">
        <v>190.79</v>
      </c>
      <c r="I224" s="138">
        <f t="shared" ca="1" si="13"/>
        <v>238.48749999999998</v>
      </c>
      <c r="J224" s="139">
        <v>2541.3227999999999</v>
      </c>
      <c r="K224" s="140">
        <v>3176.69</v>
      </c>
    </row>
    <row r="225" spans="2:11">
      <c r="B225" s="131" t="s">
        <v>430</v>
      </c>
      <c r="C225" s="154" t="s">
        <v>431</v>
      </c>
      <c r="D225" s="154"/>
      <c r="E225" s="154"/>
      <c r="F225" s="154"/>
      <c r="G225" s="154"/>
      <c r="H225" s="154"/>
      <c r="I225" s="131"/>
      <c r="J225" s="132">
        <v>95390.934500000003</v>
      </c>
      <c r="K225" s="133">
        <f>SUM(K226:K236)</f>
        <v>119239.33000000002</v>
      </c>
    </row>
    <row r="226" spans="2:11" ht="36.6" customHeight="1">
      <c r="B226" s="134" t="s">
        <v>432</v>
      </c>
      <c r="C226" s="135" t="s">
        <v>433</v>
      </c>
      <c r="D226" s="136" t="s">
        <v>434</v>
      </c>
      <c r="E226" s="135" t="s">
        <v>26</v>
      </c>
      <c r="F226" s="135" t="s">
        <v>15</v>
      </c>
      <c r="G226" s="137">
        <v>4.2</v>
      </c>
      <c r="H226" s="138">
        <v>465.1</v>
      </c>
      <c r="I226" s="138">
        <f t="shared" ca="1" si="13"/>
        <v>581.375</v>
      </c>
      <c r="J226" s="139">
        <v>1953.42</v>
      </c>
      <c r="K226" s="140">
        <v>2441.8000000000002</v>
      </c>
    </row>
    <row r="227" spans="2:11" ht="36" customHeight="1">
      <c r="B227" s="134" t="s">
        <v>435</v>
      </c>
      <c r="C227" s="135" t="s">
        <v>436</v>
      </c>
      <c r="D227" s="136" t="s">
        <v>437</v>
      </c>
      <c r="E227" s="135" t="s">
        <v>26</v>
      </c>
      <c r="F227" s="135" t="s">
        <v>15</v>
      </c>
      <c r="G227" s="137">
        <v>3.78</v>
      </c>
      <c r="H227" s="138">
        <v>646.45000000000005</v>
      </c>
      <c r="I227" s="138">
        <f t="shared" ca="1" si="13"/>
        <v>808.0625</v>
      </c>
      <c r="J227" s="139">
        <v>2443.5810000000001</v>
      </c>
      <c r="K227" s="140">
        <v>3054.47</v>
      </c>
    </row>
    <row r="228" spans="2:11" ht="40.799999999999997" customHeight="1">
      <c r="B228" s="134" t="s">
        <v>438</v>
      </c>
      <c r="C228" s="135" t="s">
        <v>439</v>
      </c>
      <c r="D228" s="136" t="s">
        <v>440</v>
      </c>
      <c r="E228" s="135" t="s">
        <v>26</v>
      </c>
      <c r="F228" s="135" t="s">
        <v>15</v>
      </c>
      <c r="G228" s="137">
        <v>9.4499999999999993</v>
      </c>
      <c r="H228" s="138">
        <v>646.45000000000005</v>
      </c>
      <c r="I228" s="138">
        <f t="shared" ca="1" si="13"/>
        <v>808.0625</v>
      </c>
      <c r="J228" s="139">
        <v>6108.9525000000003</v>
      </c>
      <c r="K228" s="140">
        <v>7636.17</v>
      </c>
    </row>
    <row r="229" spans="2:11" ht="36" customHeight="1">
      <c r="B229" s="134" t="s">
        <v>441</v>
      </c>
      <c r="C229" s="135" t="s">
        <v>442</v>
      </c>
      <c r="D229" s="136" t="s">
        <v>443</v>
      </c>
      <c r="E229" s="135" t="s">
        <v>26</v>
      </c>
      <c r="F229" s="135" t="s">
        <v>15</v>
      </c>
      <c r="G229" s="137">
        <v>15.84</v>
      </c>
      <c r="H229" s="138">
        <v>646.45000000000005</v>
      </c>
      <c r="I229" s="138">
        <f t="shared" ca="1" si="13"/>
        <v>808.0625</v>
      </c>
      <c r="J229" s="139">
        <v>10239.768</v>
      </c>
      <c r="K229" s="140">
        <v>12799.67</v>
      </c>
    </row>
    <row r="230" spans="2:11" ht="20.399999999999999">
      <c r="B230" s="134" t="s">
        <v>444</v>
      </c>
      <c r="C230" s="135" t="s">
        <v>445</v>
      </c>
      <c r="D230" s="136" t="s">
        <v>446</v>
      </c>
      <c r="E230" s="135" t="s">
        <v>26</v>
      </c>
      <c r="F230" s="135" t="s">
        <v>15</v>
      </c>
      <c r="G230" s="137">
        <v>9.24</v>
      </c>
      <c r="H230" s="138">
        <v>646.45000000000005</v>
      </c>
      <c r="I230" s="138">
        <f t="shared" ca="1" si="13"/>
        <v>808.0625</v>
      </c>
      <c r="J230" s="139">
        <v>5973.1980000000003</v>
      </c>
      <c r="K230" s="140">
        <v>7466.47</v>
      </c>
    </row>
    <row r="231" spans="2:11" ht="31.2" customHeight="1">
      <c r="B231" s="134" t="s">
        <v>447</v>
      </c>
      <c r="C231" s="135" t="s">
        <v>448</v>
      </c>
      <c r="D231" s="136" t="s">
        <v>449</v>
      </c>
      <c r="E231" s="135" t="s">
        <v>26</v>
      </c>
      <c r="F231" s="135" t="s">
        <v>15</v>
      </c>
      <c r="G231" s="137">
        <v>82.37</v>
      </c>
      <c r="H231" s="138">
        <v>465.1</v>
      </c>
      <c r="I231" s="138">
        <f t="shared" ca="1" si="13"/>
        <v>581.375</v>
      </c>
      <c r="J231" s="139">
        <v>38310.286999999997</v>
      </c>
      <c r="K231" s="140">
        <v>47888.27</v>
      </c>
    </row>
    <row r="232" spans="2:11" ht="27" customHeight="1">
      <c r="B232" s="134" t="s">
        <v>450</v>
      </c>
      <c r="C232" s="135" t="s">
        <v>451</v>
      </c>
      <c r="D232" s="136" t="s">
        <v>452</v>
      </c>
      <c r="E232" s="135" t="s">
        <v>26</v>
      </c>
      <c r="F232" s="135" t="s">
        <v>15</v>
      </c>
      <c r="G232" s="137">
        <v>47.88</v>
      </c>
      <c r="H232" s="138">
        <v>465.1</v>
      </c>
      <c r="I232" s="138">
        <f t="shared" ca="1" si="13"/>
        <v>581.375</v>
      </c>
      <c r="J232" s="139">
        <v>22268.988000000001</v>
      </c>
      <c r="K232" s="140">
        <v>27836.47</v>
      </c>
    </row>
    <row r="233" spans="2:11" ht="28.2" customHeight="1">
      <c r="B233" s="134" t="s">
        <v>453</v>
      </c>
      <c r="C233" s="135" t="s">
        <v>454</v>
      </c>
      <c r="D233" s="136" t="s">
        <v>455</v>
      </c>
      <c r="E233" s="135" t="s">
        <v>26</v>
      </c>
      <c r="F233" s="135" t="s">
        <v>15</v>
      </c>
      <c r="G233" s="137">
        <v>5.99</v>
      </c>
      <c r="H233" s="138">
        <v>465.1</v>
      </c>
      <c r="I233" s="138">
        <f t="shared" ca="1" si="13"/>
        <v>581.375</v>
      </c>
      <c r="J233" s="139">
        <v>2785.9490000000001</v>
      </c>
      <c r="K233" s="140">
        <v>3482.47</v>
      </c>
    </row>
    <row r="234" spans="2:11" ht="26.4" customHeight="1">
      <c r="B234" s="134" t="s">
        <v>456</v>
      </c>
      <c r="C234" s="135" t="s">
        <v>457</v>
      </c>
      <c r="D234" s="136" t="s">
        <v>458</v>
      </c>
      <c r="E234" s="135" t="s">
        <v>26</v>
      </c>
      <c r="F234" s="135" t="s">
        <v>15</v>
      </c>
      <c r="G234" s="137">
        <v>3.3</v>
      </c>
      <c r="H234" s="138">
        <v>465.1</v>
      </c>
      <c r="I234" s="138">
        <f t="shared" ca="1" si="13"/>
        <v>581.375</v>
      </c>
      <c r="J234" s="139">
        <v>1534.83</v>
      </c>
      <c r="K234" s="140">
        <v>1918.55</v>
      </c>
    </row>
    <row r="235" spans="2:11" ht="30" customHeight="1">
      <c r="B235" s="134" t="s">
        <v>459</v>
      </c>
      <c r="C235" s="135" t="s">
        <v>460</v>
      </c>
      <c r="D235" s="136" t="s">
        <v>461</v>
      </c>
      <c r="E235" s="135" t="s">
        <v>26</v>
      </c>
      <c r="F235" s="135" t="s">
        <v>15</v>
      </c>
      <c r="G235" s="137">
        <v>4.03</v>
      </c>
      <c r="H235" s="138">
        <v>465.1</v>
      </c>
      <c r="I235" s="138">
        <f t="shared" ca="1" si="13"/>
        <v>581.375</v>
      </c>
      <c r="J235" s="139">
        <v>1874.3530000000001</v>
      </c>
      <c r="K235" s="140">
        <v>2342.96</v>
      </c>
    </row>
    <row r="236" spans="2:11" ht="28.2" customHeight="1">
      <c r="B236" s="134" t="s">
        <v>462</v>
      </c>
      <c r="C236" s="135" t="s">
        <v>463</v>
      </c>
      <c r="D236" s="136" t="s">
        <v>464</v>
      </c>
      <c r="E236" s="135" t="s">
        <v>26</v>
      </c>
      <c r="F236" s="135" t="s">
        <v>15</v>
      </c>
      <c r="G236" s="137">
        <v>4.08</v>
      </c>
      <c r="H236" s="138">
        <v>465.1</v>
      </c>
      <c r="I236" s="138">
        <f t="shared" ca="1" si="13"/>
        <v>581.375</v>
      </c>
      <c r="J236" s="139">
        <v>1897.6079999999999</v>
      </c>
      <c r="K236" s="140">
        <v>2372.0300000000002</v>
      </c>
    </row>
    <row r="237" spans="2:11">
      <c r="B237" s="131" t="s">
        <v>465</v>
      </c>
      <c r="C237" s="154" t="s">
        <v>466</v>
      </c>
      <c r="D237" s="154"/>
      <c r="E237" s="154"/>
      <c r="F237" s="154"/>
      <c r="G237" s="154"/>
      <c r="H237" s="154"/>
      <c r="I237" s="131"/>
      <c r="J237" s="132">
        <v>209089.18849999999</v>
      </c>
      <c r="K237" s="133">
        <f>SUM(K238:K253)</f>
        <v>261361.84</v>
      </c>
    </row>
    <row r="238" spans="2:11" ht="33" customHeight="1">
      <c r="B238" s="134" t="s">
        <v>467</v>
      </c>
      <c r="C238" s="135" t="s">
        <v>468</v>
      </c>
      <c r="D238" s="136" t="s">
        <v>469</v>
      </c>
      <c r="E238" s="135" t="s">
        <v>26</v>
      </c>
      <c r="F238" s="135" t="s">
        <v>15</v>
      </c>
      <c r="G238" s="137">
        <v>5.46</v>
      </c>
      <c r="H238" s="138">
        <v>636.25</v>
      </c>
      <c r="I238" s="138">
        <f t="shared" ca="1" si="13"/>
        <v>795.3125</v>
      </c>
      <c r="J238" s="139">
        <v>3473.9250000000002</v>
      </c>
      <c r="K238" s="140">
        <v>4342.3900000000003</v>
      </c>
    </row>
    <row r="239" spans="2:11" ht="27" customHeight="1">
      <c r="B239" s="134" t="s">
        <v>470</v>
      </c>
      <c r="C239" s="135" t="s">
        <v>471</v>
      </c>
      <c r="D239" s="136" t="s">
        <v>472</v>
      </c>
      <c r="E239" s="135" t="s">
        <v>26</v>
      </c>
      <c r="F239" s="135" t="s">
        <v>15</v>
      </c>
      <c r="G239" s="137">
        <v>6.3</v>
      </c>
      <c r="H239" s="138">
        <v>327.94</v>
      </c>
      <c r="I239" s="138">
        <f t="shared" ca="1" si="13"/>
        <v>409.92500000000001</v>
      </c>
      <c r="J239" s="139">
        <v>2066.0219999999999</v>
      </c>
      <c r="K239" s="140">
        <v>2582.56</v>
      </c>
    </row>
    <row r="240" spans="2:11" ht="27" customHeight="1">
      <c r="B240" s="134" t="s">
        <v>473</v>
      </c>
      <c r="C240" s="135" t="s">
        <v>474</v>
      </c>
      <c r="D240" s="136" t="s">
        <v>475</v>
      </c>
      <c r="E240" s="135" t="s">
        <v>26</v>
      </c>
      <c r="F240" s="135" t="s">
        <v>15</v>
      </c>
      <c r="G240" s="137">
        <v>5.74</v>
      </c>
      <c r="H240" s="138">
        <v>327.94</v>
      </c>
      <c r="I240" s="138">
        <f t="shared" ca="1" si="13"/>
        <v>409.92500000000001</v>
      </c>
      <c r="J240" s="139">
        <v>1882.3756000000001</v>
      </c>
      <c r="K240" s="140">
        <v>2353</v>
      </c>
    </row>
    <row r="241" spans="2:11" ht="28.2" customHeight="1">
      <c r="B241" s="134" t="s">
        <v>476</v>
      </c>
      <c r="C241" s="135" t="s">
        <v>477</v>
      </c>
      <c r="D241" s="136" t="s">
        <v>478</v>
      </c>
      <c r="E241" s="135" t="s">
        <v>26</v>
      </c>
      <c r="F241" s="135" t="s">
        <v>15</v>
      </c>
      <c r="G241" s="137">
        <v>20.72</v>
      </c>
      <c r="H241" s="138">
        <v>327.94</v>
      </c>
      <c r="I241" s="138">
        <f t="shared" ca="1" si="13"/>
        <v>409.92500000000001</v>
      </c>
      <c r="J241" s="139">
        <v>6794.9168</v>
      </c>
      <c r="K241" s="140">
        <v>8493.75</v>
      </c>
    </row>
    <row r="242" spans="2:11" ht="28.2" customHeight="1">
      <c r="B242" s="134" t="s">
        <v>479</v>
      </c>
      <c r="C242" s="135" t="s">
        <v>480</v>
      </c>
      <c r="D242" s="136" t="s">
        <v>481</v>
      </c>
      <c r="E242" s="135" t="s">
        <v>26</v>
      </c>
      <c r="F242" s="135" t="s">
        <v>15</v>
      </c>
      <c r="G242" s="137">
        <v>19.43</v>
      </c>
      <c r="H242" s="138">
        <v>327.94</v>
      </c>
      <c r="I242" s="138">
        <f t="shared" ca="1" si="13"/>
        <v>409.92500000000001</v>
      </c>
      <c r="J242" s="139">
        <v>6371.8742000000002</v>
      </c>
      <c r="K242" s="140">
        <v>7964.94</v>
      </c>
    </row>
    <row r="243" spans="2:11" ht="25.2" customHeight="1">
      <c r="B243" s="134" t="s">
        <v>482</v>
      </c>
      <c r="C243" s="135" t="s">
        <v>483</v>
      </c>
      <c r="D243" s="136" t="s">
        <v>484</v>
      </c>
      <c r="E243" s="135" t="s">
        <v>26</v>
      </c>
      <c r="F243" s="135" t="s">
        <v>15</v>
      </c>
      <c r="G243" s="137">
        <v>4.2</v>
      </c>
      <c r="H243" s="138">
        <v>681.47</v>
      </c>
      <c r="I243" s="138">
        <f t="shared" ca="1" si="13"/>
        <v>851.83750000000009</v>
      </c>
      <c r="J243" s="139">
        <v>2862.174</v>
      </c>
      <c r="K243" s="140">
        <v>3577.73</v>
      </c>
    </row>
    <row r="244" spans="2:11" ht="28.2" customHeight="1">
      <c r="B244" s="134" t="s">
        <v>485</v>
      </c>
      <c r="C244" s="135" t="s">
        <v>486</v>
      </c>
      <c r="D244" s="136" t="s">
        <v>487</v>
      </c>
      <c r="E244" s="135" t="s">
        <v>26</v>
      </c>
      <c r="F244" s="135" t="s">
        <v>15</v>
      </c>
      <c r="G244" s="137">
        <v>19.32</v>
      </c>
      <c r="H244" s="138">
        <v>681.47</v>
      </c>
      <c r="I244" s="138">
        <f t="shared" ca="1" si="13"/>
        <v>851.83750000000009</v>
      </c>
      <c r="J244" s="139">
        <v>13166.000400000001</v>
      </c>
      <c r="K244" s="140">
        <v>16457.55</v>
      </c>
    </row>
    <row r="245" spans="2:11" ht="28.2" customHeight="1">
      <c r="B245" s="134" t="s">
        <v>488</v>
      </c>
      <c r="C245" s="135" t="s">
        <v>489</v>
      </c>
      <c r="D245" s="136" t="s">
        <v>490</v>
      </c>
      <c r="E245" s="135" t="s">
        <v>26</v>
      </c>
      <c r="F245" s="135" t="s">
        <v>15</v>
      </c>
      <c r="G245" s="137">
        <v>20.3</v>
      </c>
      <c r="H245" s="138">
        <v>681.47</v>
      </c>
      <c r="I245" s="138">
        <f t="shared" ca="1" si="13"/>
        <v>851.83750000000009</v>
      </c>
      <c r="J245" s="139">
        <v>13833.841</v>
      </c>
      <c r="K245" s="140">
        <v>17292.349999999999</v>
      </c>
    </row>
    <row r="246" spans="2:11" ht="28.2" customHeight="1">
      <c r="B246" s="134" t="s">
        <v>491</v>
      </c>
      <c r="C246" s="135" t="s">
        <v>492</v>
      </c>
      <c r="D246" s="136" t="s">
        <v>493</v>
      </c>
      <c r="E246" s="135" t="s">
        <v>26</v>
      </c>
      <c r="F246" s="135" t="s">
        <v>15</v>
      </c>
      <c r="G246" s="137">
        <v>117.81</v>
      </c>
      <c r="H246" s="138">
        <v>681.47</v>
      </c>
      <c r="I246" s="138">
        <f t="shared" ca="1" si="13"/>
        <v>851.83750000000009</v>
      </c>
      <c r="J246" s="139">
        <v>80283.9807</v>
      </c>
      <c r="K246" s="140">
        <v>100355.27</v>
      </c>
    </row>
    <row r="247" spans="2:11" ht="27" customHeight="1">
      <c r="B247" s="134" t="s">
        <v>494</v>
      </c>
      <c r="C247" s="135" t="s">
        <v>495</v>
      </c>
      <c r="D247" s="136" t="s">
        <v>496</v>
      </c>
      <c r="E247" s="135" t="s">
        <v>26</v>
      </c>
      <c r="F247" s="135" t="s">
        <v>15</v>
      </c>
      <c r="G247" s="137">
        <v>16.2</v>
      </c>
      <c r="H247" s="138">
        <v>636.25</v>
      </c>
      <c r="I247" s="138">
        <f t="shared" ca="1" si="13"/>
        <v>795.3125</v>
      </c>
      <c r="J247" s="139">
        <v>10307.25</v>
      </c>
      <c r="K247" s="140">
        <v>12884.02</v>
      </c>
    </row>
    <row r="248" spans="2:11" ht="28.2" customHeight="1">
      <c r="B248" s="134" t="s">
        <v>497</v>
      </c>
      <c r="C248" s="135" t="s">
        <v>498</v>
      </c>
      <c r="D248" s="136" t="s">
        <v>499</v>
      </c>
      <c r="E248" s="135" t="s">
        <v>26</v>
      </c>
      <c r="F248" s="135" t="s">
        <v>15</v>
      </c>
      <c r="G248" s="137">
        <v>6</v>
      </c>
      <c r="H248" s="138">
        <v>636.25</v>
      </c>
      <c r="I248" s="138">
        <f t="shared" ca="1" si="13"/>
        <v>795.3125</v>
      </c>
      <c r="J248" s="139">
        <v>3817.5</v>
      </c>
      <c r="K248" s="140">
        <v>4771.8599999999997</v>
      </c>
    </row>
    <row r="249" spans="2:11" ht="25.2" customHeight="1">
      <c r="B249" s="134" t="s">
        <v>500</v>
      </c>
      <c r="C249" s="135" t="s">
        <v>501</v>
      </c>
      <c r="D249" s="136" t="s">
        <v>502</v>
      </c>
      <c r="E249" s="135" t="s">
        <v>26</v>
      </c>
      <c r="F249" s="135" t="s">
        <v>15</v>
      </c>
      <c r="G249" s="137">
        <v>44.8</v>
      </c>
      <c r="H249" s="138">
        <v>636.25</v>
      </c>
      <c r="I249" s="138">
        <f t="shared" ca="1" si="13"/>
        <v>795.3125</v>
      </c>
      <c r="J249" s="139">
        <v>28504</v>
      </c>
      <c r="K249" s="140">
        <v>35629.89</v>
      </c>
    </row>
    <row r="250" spans="2:11" ht="28.2" customHeight="1">
      <c r="B250" s="134" t="s">
        <v>503</v>
      </c>
      <c r="C250" s="135" t="s">
        <v>504</v>
      </c>
      <c r="D250" s="136" t="s">
        <v>505</v>
      </c>
      <c r="E250" s="135" t="s">
        <v>26</v>
      </c>
      <c r="F250" s="135" t="s">
        <v>15</v>
      </c>
      <c r="G250" s="137">
        <v>3.36</v>
      </c>
      <c r="H250" s="138">
        <v>636.25</v>
      </c>
      <c r="I250" s="138">
        <f t="shared" ca="1" si="13"/>
        <v>795.3125</v>
      </c>
      <c r="J250" s="139">
        <v>2137.8000000000002</v>
      </c>
      <c r="K250" s="140">
        <v>2672.24</v>
      </c>
    </row>
    <row r="251" spans="2:11" ht="26.4" customHeight="1">
      <c r="B251" s="134" t="s">
        <v>506</v>
      </c>
      <c r="C251" s="135" t="s">
        <v>507</v>
      </c>
      <c r="D251" s="136" t="s">
        <v>508</v>
      </c>
      <c r="E251" s="135" t="s">
        <v>26</v>
      </c>
      <c r="F251" s="135" t="s">
        <v>15</v>
      </c>
      <c r="G251" s="137">
        <v>15.54</v>
      </c>
      <c r="H251" s="138">
        <v>636.25</v>
      </c>
      <c r="I251" s="138">
        <f t="shared" ca="1" si="13"/>
        <v>795.3125</v>
      </c>
      <c r="J251" s="139">
        <v>9887.3250000000007</v>
      </c>
      <c r="K251" s="140">
        <v>12359.12</v>
      </c>
    </row>
    <row r="252" spans="2:11" ht="28.2" customHeight="1">
      <c r="B252" s="134" t="s">
        <v>509</v>
      </c>
      <c r="C252" s="135" t="s">
        <v>510</v>
      </c>
      <c r="D252" s="136" t="s">
        <v>511</v>
      </c>
      <c r="E252" s="135" t="s">
        <v>26</v>
      </c>
      <c r="F252" s="135" t="s">
        <v>15</v>
      </c>
      <c r="G252" s="137">
        <v>36.4</v>
      </c>
      <c r="H252" s="138">
        <v>636.25</v>
      </c>
      <c r="I252" s="138">
        <f t="shared" ca="1" si="13"/>
        <v>795.3125</v>
      </c>
      <c r="J252" s="139">
        <v>23159.5</v>
      </c>
      <c r="K252" s="140">
        <v>28949.279999999999</v>
      </c>
    </row>
    <row r="253" spans="2:11">
      <c r="B253" s="134" t="s">
        <v>512</v>
      </c>
      <c r="C253" s="135" t="s">
        <v>513</v>
      </c>
      <c r="D253" s="136" t="s">
        <v>514</v>
      </c>
      <c r="E253" s="135" t="s">
        <v>26</v>
      </c>
      <c r="F253" s="135" t="s">
        <v>15</v>
      </c>
      <c r="G253" s="137">
        <v>2.73</v>
      </c>
      <c r="H253" s="138">
        <v>198.06</v>
      </c>
      <c r="I253" s="138">
        <f t="shared" ca="1" si="13"/>
        <v>247.57499999999999</v>
      </c>
      <c r="J253" s="139">
        <v>540.7038</v>
      </c>
      <c r="K253" s="140">
        <v>675.89</v>
      </c>
    </row>
    <row r="254" spans="2:11">
      <c r="B254" s="131" t="s">
        <v>515</v>
      </c>
      <c r="C254" s="154" t="s">
        <v>516</v>
      </c>
      <c r="D254" s="154"/>
      <c r="E254" s="154"/>
      <c r="F254" s="154"/>
      <c r="G254" s="154"/>
      <c r="H254" s="154"/>
      <c r="I254" s="131"/>
      <c r="J254" s="132">
        <v>222952.4081</v>
      </c>
      <c r="K254" s="133">
        <f ca="1">SUM(K255:K261)</f>
        <v>278690.34399999998</v>
      </c>
    </row>
    <row r="255" spans="2:11" ht="27.6" customHeight="1">
      <c r="B255" s="134" t="s">
        <v>517</v>
      </c>
      <c r="C255" s="135" t="s">
        <v>518</v>
      </c>
      <c r="D255" s="136" t="s">
        <v>519</v>
      </c>
      <c r="E255" s="135" t="s">
        <v>26</v>
      </c>
      <c r="F255" s="135" t="s">
        <v>15</v>
      </c>
      <c r="G255" s="137">
        <v>7.7</v>
      </c>
      <c r="H255" s="138">
        <v>718.27</v>
      </c>
      <c r="I255" s="138">
        <f t="shared" ca="1" si="13"/>
        <v>897.83749999999998</v>
      </c>
      <c r="J255" s="139">
        <v>5530.6790000000001</v>
      </c>
      <c r="K255" s="141">
        <v>6913.37</v>
      </c>
    </row>
    <row r="256" spans="2:11" ht="39" customHeight="1">
      <c r="B256" s="134" t="s">
        <v>520</v>
      </c>
      <c r="C256" s="135" t="s">
        <v>521</v>
      </c>
      <c r="D256" s="136" t="s">
        <v>522</v>
      </c>
      <c r="E256" s="135" t="s">
        <v>26</v>
      </c>
      <c r="F256" s="135" t="s">
        <v>15</v>
      </c>
      <c r="G256" s="137">
        <v>8.09</v>
      </c>
      <c r="H256" s="138">
        <v>1097.43</v>
      </c>
      <c r="I256" s="138">
        <f t="shared" ca="1" si="13"/>
        <v>1371.7875000000001</v>
      </c>
      <c r="J256" s="139">
        <v>8878.2086999999992</v>
      </c>
      <c r="K256" s="140">
        <v>11097.78</v>
      </c>
    </row>
    <row r="257" spans="2:11" ht="28.8" customHeight="1">
      <c r="B257" s="134" t="s">
        <v>523</v>
      </c>
      <c r="C257" s="135" t="s">
        <v>524</v>
      </c>
      <c r="D257" s="136" t="s">
        <v>525</v>
      </c>
      <c r="E257" s="135" t="s">
        <v>26</v>
      </c>
      <c r="F257" s="135" t="s">
        <v>15</v>
      </c>
      <c r="G257" s="137">
        <v>3.24</v>
      </c>
      <c r="H257" s="138">
        <v>718.27</v>
      </c>
      <c r="I257" s="138">
        <f t="shared" ca="1" si="13"/>
        <v>897.83749999999998</v>
      </c>
      <c r="J257" s="139">
        <v>2327.1948000000002</v>
      </c>
      <c r="K257" s="140">
        <v>2909</v>
      </c>
    </row>
    <row r="258" spans="2:11" ht="35.4" customHeight="1">
      <c r="B258" s="134" t="s">
        <v>526</v>
      </c>
      <c r="C258" s="135" t="s">
        <v>527</v>
      </c>
      <c r="D258" s="136" t="s">
        <v>528</v>
      </c>
      <c r="E258" s="135" t="s">
        <v>26</v>
      </c>
      <c r="F258" s="135" t="s">
        <v>15</v>
      </c>
      <c r="G258" s="137">
        <v>1.83</v>
      </c>
      <c r="H258" s="138">
        <v>1097.43</v>
      </c>
      <c r="I258" s="138">
        <f t="shared" ca="1" si="13"/>
        <v>1371.7875000000001</v>
      </c>
      <c r="J258" s="139">
        <v>2008.2969000000001</v>
      </c>
      <c r="K258" s="140">
        <v>2510.38</v>
      </c>
    </row>
    <row r="259" spans="2:11" ht="28.2" customHeight="1">
      <c r="B259" s="134" t="s">
        <v>529</v>
      </c>
      <c r="C259" s="135" t="s">
        <v>530</v>
      </c>
      <c r="D259" s="136" t="s">
        <v>531</v>
      </c>
      <c r="E259" s="135" t="s">
        <v>26</v>
      </c>
      <c r="F259" s="135" t="s">
        <v>15</v>
      </c>
      <c r="G259" s="137">
        <v>34.68</v>
      </c>
      <c r="H259" s="138">
        <v>697.14</v>
      </c>
      <c r="I259" s="138">
        <f t="shared" ca="1" si="13"/>
        <v>871.42499999999995</v>
      </c>
      <c r="J259" s="139">
        <v>24176.815200000001</v>
      </c>
      <c r="K259" s="140">
        <v>30221.19</v>
      </c>
    </row>
    <row r="260" spans="2:11">
      <c r="B260" s="134" t="s">
        <v>532</v>
      </c>
      <c r="C260" s="135" t="s">
        <v>533</v>
      </c>
      <c r="D260" s="136" t="s">
        <v>534</v>
      </c>
      <c r="E260" s="135" t="s">
        <v>26</v>
      </c>
      <c r="F260" s="135" t="s">
        <v>15</v>
      </c>
      <c r="G260" s="137">
        <v>155.43</v>
      </c>
      <c r="H260" s="138">
        <v>64.81</v>
      </c>
      <c r="I260" s="138">
        <f t="shared" ca="1" si="13"/>
        <v>81.012500000000003</v>
      </c>
      <c r="J260" s="139">
        <v>10073.418299999999</v>
      </c>
      <c r="K260" s="140">
        <v>12591.38</v>
      </c>
    </row>
    <row r="261" spans="2:11">
      <c r="B261" s="134" t="s">
        <v>535</v>
      </c>
      <c r="C261" s="135" t="s">
        <v>536</v>
      </c>
      <c r="D261" s="136" t="s">
        <v>537</v>
      </c>
      <c r="E261" s="135" t="s">
        <v>26</v>
      </c>
      <c r="F261" s="135" t="s">
        <v>15</v>
      </c>
      <c r="G261" s="137">
        <v>246.23</v>
      </c>
      <c r="H261" s="138">
        <v>690.24</v>
      </c>
      <c r="I261" s="138">
        <f t="shared" ca="1" si="13"/>
        <v>862.8</v>
      </c>
      <c r="J261" s="139">
        <v>169957.79519999999</v>
      </c>
      <c r="K261" s="140">
        <f t="shared" ca="1" si="14"/>
        <v>212447.24399999998</v>
      </c>
    </row>
    <row r="262" spans="2:11">
      <c r="B262" s="131" t="s">
        <v>538</v>
      </c>
      <c r="C262" s="154" t="s">
        <v>539</v>
      </c>
      <c r="D262" s="154"/>
      <c r="E262" s="154"/>
      <c r="F262" s="154"/>
      <c r="G262" s="154"/>
      <c r="H262" s="154"/>
      <c r="I262" s="131"/>
      <c r="J262" s="132">
        <v>634481.38359999994</v>
      </c>
      <c r="K262" s="133">
        <f ca="1">SUM(K263,K277)</f>
        <v>793027.95599999989</v>
      </c>
    </row>
    <row r="263" spans="2:11">
      <c r="B263" s="131" t="s">
        <v>540</v>
      </c>
      <c r="C263" s="154" t="s">
        <v>50</v>
      </c>
      <c r="D263" s="154"/>
      <c r="E263" s="154"/>
      <c r="F263" s="154"/>
      <c r="G263" s="154"/>
      <c r="H263" s="154"/>
      <c r="I263" s="131"/>
      <c r="J263" s="132">
        <v>555955.36959999998</v>
      </c>
      <c r="K263" s="133">
        <f ca="1">SUM(K264:K276)</f>
        <v>694960.95599999989</v>
      </c>
    </row>
    <row r="264" spans="2:11" ht="51" customHeight="1">
      <c r="B264" s="134" t="s">
        <v>541</v>
      </c>
      <c r="C264" s="135" t="s">
        <v>542</v>
      </c>
      <c r="D264" s="136" t="s">
        <v>543</v>
      </c>
      <c r="E264" s="135" t="s">
        <v>26</v>
      </c>
      <c r="F264" s="135" t="s">
        <v>15</v>
      </c>
      <c r="G264" s="137">
        <v>2471.29</v>
      </c>
      <c r="H264" s="138">
        <v>149.86000000000001</v>
      </c>
      <c r="I264" s="138">
        <f t="shared" ref="I264:I287" ca="1" si="15">(H264*J$5)+H264</f>
        <v>187.32500000000002</v>
      </c>
      <c r="J264" s="139">
        <v>370347.51939999999</v>
      </c>
      <c r="K264" s="140">
        <v>462946.76</v>
      </c>
    </row>
    <row r="265" spans="2:11">
      <c r="B265" s="134" t="s">
        <v>544</v>
      </c>
      <c r="C265" s="135" t="s">
        <v>545</v>
      </c>
      <c r="D265" s="136" t="s">
        <v>546</v>
      </c>
      <c r="E265" s="135" t="s">
        <v>26</v>
      </c>
      <c r="F265" s="135" t="s">
        <v>15</v>
      </c>
      <c r="G265" s="137">
        <v>10.42</v>
      </c>
      <c r="H265" s="138">
        <v>108.24</v>
      </c>
      <c r="I265" s="138">
        <f t="shared" ca="1" si="15"/>
        <v>135.29999999999998</v>
      </c>
      <c r="J265" s="139">
        <v>1127.8607999999999</v>
      </c>
      <c r="K265" s="140">
        <f t="shared" ref="K265:K280" ca="1" si="16">I265*G265</f>
        <v>1409.8259999999998</v>
      </c>
    </row>
    <row r="266" spans="2:11">
      <c r="B266" s="134" t="s">
        <v>547</v>
      </c>
      <c r="C266" s="135" t="s">
        <v>548</v>
      </c>
      <c r="D266" s="136" t="s">
        <v>549</v>
      </c>
      <c r="E266" s="135" t="s">
        <v>26</v>
      </c>
      <c r="F266" s="135" t="s">
        <v>30</v>
      </c>
      <c r="G266" s="137">
        <v>158.28</v>
      </c>
      <c r="H266" s="138">
        <v>89.78</v>
      </c>
      <c r="I266" s="138">
        <f t="shared" ca="1" si="15"/>
        <v>112.22499999999999</v>
      </c>
      <c r="J266" s="139">
        <v>14210.3784</v>
      </c>
      <c r="K266" s="140">
        <v>17763.759999999998</v>
      </c>
    </row>
    <row r="267" spans="2:11">
      <c r="B267" s="134" t="s">
        <v>550</v>
      </c>
      <c r="C267" s="135" t="s">
        <v>551</v>
      </c>
      <c r="D267" s="136" t="s">
        <v>552</v>
      </c>
      <c r="E267" s="135" t="s">
        <v>26</v>
      </c>
      <c r="F267" s="135" t="s">
        <v>30</v>
      </c>
      <c r="G267" s="137">
        <v>64.599999999999994</v>
      </c>
      <c r="H267" s="138">
        <v>89.78</v>
      </c>
      <c r="I267" s="138">
        <f t="shared" ca="1" si="15"/>
        <v>112.22499999999999</v>
      </c>
      <c r="J267" s="139">
        <v>5799.7879999999996</v>
      </c>
      <c r="K267" s="140">
        <v>7250.06</v>
      </c>
    </row>
    <row r="268" spans="2:11">
      <c r="B268" s="134" t="s">
        <v>553</v>
      </c>
      <c r="C268" s="135" t="s">
        <v>554</v>
      </c>
      <c r="D268" s="136" t="s">
        <v>555</v>
      </c>
      <c r="E268" s="135" t="s">
        <v>26</v>
      </c>
      <c r="F268" s="135" t="s">
        <v>30</v>
      </c>
      <c r="G268" s="137">
        <v>78.8</v>
      </c>
      <c r="H268" s="138">
        <v>89.78</v>
      </c>
      <c r="I268" s="138">
        <f t="shared" ca="1" si="15"/>
        <v>112.22499999999999</v>
      </c>
      <c r="J268" s="139">
        <v>7074.6639999999998</v>
      </c>
      <c r="K268" s="140">
        <v>8843.7199999999993</v>
      </c>
    </row>
    <row r="269" spans="2:11">
      <c r="B269" s="134" t="s">
        <v>556</v>
      </c>
      <c r="C269" s="135" t="s">
        <v>557</v>
      </c>
      <c r="D269" s="136" t="s">
        <v>558</v>
      </c>
      <c r="E269" s="135" t="s">
        <v>26</v>
      </c>
      <c r="F269" s="135" t="s">
        <v>30</v>
      </c>
      <c r="G269" s="137">
        <v>20.6</v>
      </c>
      <c r="H269" s="138">
        <v>89.78</v>
      </c>
      <c r="I269" s="138">
        <f t="shared" ca="1" si="15"/>
        <v>112.22499999999999</v>
      </c>
      <c r="J269" s="139">
        <v>1849.4680000000001</v>
      </c>
      <c r="K269" s="140">
        <v>2311.94</v>
      </c>
    </row>
    <row r="270" spans="2:11">
      <c r="B270" s="134" t="s">
        <v>559</v>
      </c>
      <c r="C270" s="135" t="s">
        <v>560</v>
      </c>
      <c r="D270" s="136" t="s">
        <v>561</v>
      </c>
      <c r="E270" s="135" t="s">
        <v>26</v>
      </c>
      <c r="F270" s="135" t="s">
        <v>30</v>
      </c>
      <c r="G270" s="137">
        <v>320.83</v>
      </c>
      <c r="H270" s="138">
        <v>89.78</v>
      </c>
      <c r="I270" s="138">
        <f t="shared" ca="1" si="15"/>
        <v>112.22499999999999</v>
      </c>
      <c r="J270" s="139">
        <v>28804.117399999999</v>
      </c>
      <c r="K270" s="140">
        <v>36006.75</v>
      </c>
    </row>
    <row r="271" spans="2:11">
      <c r="B271" s="134" t="s">
        <v>562</v>
      </c>
      <c r="C271" s="135" t="s">
        <v>563</v>
      </c>
      <c r="D271" s="136" t="s">
        <v>564</v>
      </c>
      <c r="E271" s="135" t="s">
        <v>26</v>
      </c>
      <c r="F271" s="135" t="s">
        <v>30</v>
      </c>
      <c r="G271" s="137">
        <v>113.12</v>
      </c>
      <c r="H271" s="138">
        <v>89.78</v>
      </c>
      <c r="I271" s="138">
        <f t="shared" ca="1" si="15"/>
        <v>112.22499999999999</v>
      </c>
      <c r="J271" s="139">
        <v>10155.9136</v>
      </c>
      <c r="K271" s="140">
        <v>12695.46</v>
      </c>
    </row>
    <row r="272" spans="2:11" ht="25.8" customHeight="1">
      <c r="B272" s="134" t="s">
        <v>565</v>
      </c>
      <c r="C272" s="135" t="s">
        <v>566</v>
      </c>
      <c r="D272" s="136" t="s">
        <v>567</v>
      </c>
      <c r="E272" s="135" t="s">
        <v>26</v>
      </c>
      <c r="F272" s="135" t="s">
        <v>30</v>
      </c>
      <c r="G272" s="137">
        <v>242</v>
      </c>
      <c r="H272" s="138">
        <v>157.03</v>
      </c>
      <c r="I272" s="138">
        <f t="shared" ca="1" si="15"/>
        <v>196.28749999999999</v>
      </c>
      <c r="J272" s="139">
        <v>38001.26</v>
      </c>
      <c r="K272" s="140">
        <v>47502.18</v>
      </c>
    </row>
    <row r="273" spans="2:12">
      <c r="B273" s="134" t="s">
        <v>568</v>
      </c>
      <c r="C273" s="135" t="s">
        <v>569</v>
      </c>
      <c r="D273" s="136" t="s">
        <v>570</v>
      </c>
      <c r="E273" s="135" t="s">
        <v>26</v>
      </c>
      <c r="F273" s="135" t="s">
        <v>30</v>
      </c>
      <c r="G273" s="137">
        <v>361.06</v>
      </c>
      <c r="H273" s="138">
        <v>52.6</v>
      </c>
      <c r="I273" s="138">
        <f t="shared" ca="1" si="15"/>
        <v>65.75</v>
      </c>
      <c r="J273" s="139">
        <v>18991.756000000001</v>
      </c>
      <c r="K273" s="140">
        <f t="shared" ca="1" si="16"/>
        <v>23739.695</v>
      </c>
    </row>
    <row r="274" spans="2:12">
      <c r="B274" s="134" t="s">
        <v>571</v>
      </c>
      <c r="C274" s="135" t="s">
        <v>572</v>
      </c>
      <c r="D274" s="136" t="s">
        <v>573</v>
      </c>
      <c r="E274" s="135" t="s">
        <v>26</v>
      </c>
      <c r="F274" s="135" t="s">
        <v>30</v>
      </c>
      <c r="G274" s="137">
        <v>606.91999999999996</v>
      </c>
      <c r="H274" s="138">
        <v>52.6</v>
      </c>
      <c r="I274" s="138">
        <f t="shared" ca="1" si="15"/>
        <v>65.75</v>
      </c>
      <c r="J274" s="139">
        <v>31923.991999999998</v>
      </c>
      <c r="K274" s="140">
        <v>39904.99</v>
      </c>
    </row>
    <row r="275" spans="2:12">
      <c r="B275" s="134" t="s">
        <v>574</v>
      </c>
      <c r="C275" s="135" t="s">
        <v>575</v>
      </c>
      <c r="D275" s="136" t="s">
        <v>576</v>
      </c>
      <c r="E275" s="135" t="s">
        <v>26</v>
      </c>
      <c r="F275" s="135" t="s">
        <v>30</v>
      </c>
      <c r="G275" s="137">
        <v>238.76</v>
      </c>
      <c r="H275" s="138">
        <v>52.6</v>
      </c>
      <c r="I275" s="138">
        <f t="shared" ca="1" si="15"/>
        <v>65.75</v>
      </c>
      <c r="J275" s="139">
        <v>12558.776</v>
      </c>
      <c r="K275" s="141">
        <f t="shared" ca="1" si="16"/>
        <v>15698.47</v>
      </c>
    </row>
    <row r="276" spans="2:12" ht="25.8" customHeight="1">
      <c r="B276" s="134" t="s">
        <v>577</v>
      </c>
      <c r="C276" s="135" t="s">
        <v>578</v>
      </c>
      <c r="D276" s="136" t="s">
        <v>579</v>
      </c>
      <c r="E276" s="135" t="s">
        <v>26</v>
      </c>
      <c r="F276" s="135" t="s">
        <v>30</v>
      </c>
      <c r="G276" s="137">
        <v>287.26</v>
      </c>
      <c r="H276" s="138">
        <v>52.6</v>
      </c>
      <c r="I276" s="138">
        <f t="shared" ca="1" si="15"/>
        <v>65.75</v>
      </c>
      <c r="J276" s="139">
        <v>15109.876</v>
      </c>
      <c r="K276" s="140">
        <f t="shared" ca="1" si="16"/>
        <v>18887.345000000001</v>
      </c>
    </row>
    <row r="277" spans="2:12">
      <c r="B277" s="131" t="s">
        <v>580</v>
      </c>
      <c r="C277" s="154" t="s">
        <v>581</v>
      </c>
      <c r="D277" s="154"/>
      <c r="E277" s="154"/>
      <c r="F277" s="154"/>
      <c r="G277" s="154"/>
      <c r="H277" s="154"/>
      <c r="I277" s="131"/>
      <c r="J277" s="132">
        <v>78526.013999999996</v>
      </c>
      <c r="K277" s="133">
        <f ca="1">SUM(K278:K280)</f>
        <v>98067</v>
      </c>
    </row>
    <row r="278" spans="2:12" ht="24" customHeight="1">
      <c r="B278" s="134" t="s">
        <v>582</v>
      </c>
      <c r="C278" s="135" t="s">
        <v>583</v>
      </c>
      <c r="D278" s="136" t="s">
        <v>584</v>
      </c>
      <c r="E278" s="135" t="s">
        <v>14</v>
      </c>
      <c r="F278" s="135" t="s">
        <v>15</v>
      </c>
      <c r="G278" s="137">
        <v>724.81</v>
      </c>
      <c r="H278" s="138">
        <v>54</v>
      </c>
      <c r="I278" s="138">
        <f t="shared" ca="1" si="15"/>
        <v>67.5</v>
      </c>
      <c r="J278" s="139">
        <v>39212.220999999998</v>
      </c>
      <c r="K278" s="140">
        <f t="shared" ca="1" si="16"/>
        <v>48924.674999999996</v>
      </c>
    </row>
    <row r="279" spans="2:12" ht="30.6" customHeight="1">
      <c r="B279" s="134" t="s">
        <v>585</v>
      </c>
      <c r="C279" s="135" t="s">
        <v>566</v>
      </c>
      <c r="D279" s="136" t="s">
        <v>567</v>
      </c>
      <c r="E279" s="135" t="s">
        <v>26</v>
      </c>
      <c r="F279" s="135" t="s">
        <v>30</v>
      </c>
      <c r="G279" s="137">
        <v>32.299999999999997</v>
      </c>
      <c r="H279" s="138">
        <v>157.03</v>
      </c>
      <c r="I279" s="138">
        <f t="shared" ca="1" si="15"/>
        <v>196.28749999999999</v>
      </c>
      <c r="J279" s="139">
        <v>5072.0690000000004</v>
      </c>
      <c r="K279" s="140">
        <v>6340.17</v>
      </c>
    </row>
    <row r="280" spans="2:12" ht="30.6" customHeight="1">
      <c r="B280" s="134" t="s">
        <v>586</v>
      </c>
      <c r="C280" s="135" t="s">
        <v>587</v>
      </c>
      <c r="D280" s="136" t="s">
        <v>588</v>
      </c>
      <c r="E280" s="135" t="s">
        <v>26</v>
      </c>
      <c r="F280" s="135" t="s">
        <v>15</v>
      </c>
      <c r="G280" s="137">
        <v>632.70000000000005</v>
      </c>
      <c r="H280" s="138">
        <v>54.12</v>
      </c>
      <c r="I280" s="138">
        <f t="shared" ca="1" si="15"/>
        <v>67.649999999999991</v>
      </c>
      <c r="J280" s="139">
        <v>34241.724000000002</v>
      </c>
      <c r="K280" s="140">
        <f t="shared" ca="1" si="16"/>
        <v>42802.154999999999</v>
      </c>
    </row>
    <row r="281" spans="2:12">
      <c r="B281" s="131" t="s">
        <v>589</v>
      </c>
      <c r="C281" s="154" t="s">
        <v>590</v>
      </c>
      <c r="D281" s="154"/>
      <c r="E281" s="154"/>
      <c r="F281" s="154"/>
      <c r="G281" s="154"/>
      <c r="H281" s="154"/>
      <c r="I281" s="131"/>
      <c r="J281" s="132">
        <v>108038.1004</v>
      </c>
      <c r="K281" s="133">
        <f>SUM(K282:K287)</f>
        <v>134732.06</v>
      </c>
    </row>
    <row r="282" spans="2:12" ht="19.2" customHeight="1">
      <c r="B282" s="134" t="s">
        <v>591</v>
      </c>
      <c r="C282" s="135" t="s">
        <v>592</v>
      </c>
      <c r="D282" s="136" t="s">
        <v>593</v>
      </c>
      <c r="E282" s="135" t="s">
        <v>26</v>
      </c>
      <c r="F282" s="135" t="s">
        <v>15</v>
      </c>
      <c r="G282" s="137">
        <v>1613.32</v>
      </c>
      <c r="H282" s="138">
        <v>41.5</v>
      </c>
      <c r="I282" s="138">
        <f t="shared" ca="1" si="15"/>
        <v>51.875</v>
      </c>
      <c r="J282" s="139">
        <v>66952.78</v>
      </c>
      <c r="K282" s="140">
        <v>83699.039999999994</v>
      </c>
    </row>
    <row r="283" spans="2:12" ht="19.2" customHeight="1">
      <c r="B283" s="134" t="s">
        <v>594</v>
      </c>
      <c r="C283" s="135" t="s">
        <v>595</v>
      </c>
      <c r="D283" s="136" t="s">
        <v>596</v>
      </c>
      <c r="E283" s="135" t="s">
        <v>26</v>
      </c>
      <c r="F283" s="135" t="s">
        <v>15</v>
      </c>
      <c r="G283" s="137">
        <v>192.74</v>
      </c>
      <c r="H283" s="138">
        <v>41.5</v>
      </c>
      <c r="I283" s="138">
        <f t="shared" ca="1" si="15"/>
        <v>51.875</v>
      </c>
      <c r="J283" s="139">
        <v>7998.71</v>
      </c>
      <c r="K283" s="140">
        <v>9999.35</v>
      </c>
    </row>
    <row r="284" spans="2:12">
      <c r="B284" s="134" t="s">
        <v>597</v>
      </c>
      <c r="C284" s="135" t="s">
        <v>598</v>
      </c>
      <c r="D284" s="136" t="s">
        <v>599</v>
      </c>
      <c r="E284" s="135" t="s">
        <v>26</v>
      </c>
      <c r="F284" s="135" t="s">
        <v>15</v>
      </c>
      <c r="G284" s="137">
        <v>280.02</v>
      </c>
      <c r="H284" s="138">
        <v>41.5</v>
      </c>
      <c r="I284" s="138">
        <f t="shared" ca="1" si="15"/>
        <v>51.875</v>
      </c>
      <c r="J284" s="139">
        <v>11620.83</v>
      </c>
      <c r="K284" s="140">
        <v>14527.44</v>
      </c>
    </row>
    <row r="285" spans="2:12" ht="19.2" customHeight="1">
      <c r="B285" s="134" t="s">
        <v>600</v>
      </c>
      <c r="C285" s="135" t="s">
        <v>601</v>
      </c>
      <c r="D285" s="136" t="s">
        <v>602</v>
      </c>
      <c r="E285" s="135" t="s">
        <v>26</v>
      </c>
      <c r="F285" s="135" t="s">
        <v>15</v>
      </c>
      <c r="G285" s="137">
        <v>42.55</v>
      </c>
      <c r="H285" s="138">
        <v>41.5</v>
      </c>
      <c r="I285" s="138">
        <f t="shared" ca="1" si="15"/>
        <v>51.875</v>
      </c>
      <c r="J285" s="139">
        <v>1765.825</v>
      </c>
      <c r="K285" s="140">
        <v>2207.4899999999998</v>
      </c>
      <c r="L285" s="146"/>
    </row>
    <row r="286" spans="2:12" ht="39.6" customHeight="1">
      <c r="B286" s="134" t="s">
        <v>603</v>
      </c>
      <c r="C286" s="135" t="s">
        <v>604</v>
      </c>
      <c r="D286" s="136" t="s">
        <v>605</v>
      </c>
      <c r="E286" s="135" t="s">
        <v>14</v>
      </c>
      <c r="F286" s="135" t="s">
        <v>15</v>
      </c>
      <c r="G286" s="137">
        <v>192.74</v>
      </c>
      <c r="H286" s="138">
        <v>49.09</v>
      </c>
      <c r="I286" s="138">
        <f t="shared" ca="1" si="15"/>
        <v>61.362500000000004</v>
      </c>
      <c r="J286" s="139">
        <v>9586.8876</v>
      </c>
      <c r="K286" s="140">
        <v>11826.53</v>
      </c>
    </row>
    <row r="287" spans="2:12" ht="34.799999999999997" customHeight="1">
      <c r="B287" s="134" t="s">
        <v>606</v>
      </c>
      <c r="C287" s="135" t="s">
        <v>607</v>
      </c>
      <c r="D287" s="136" t="s">
        <v>608</v>
      </c>
      <c r="E287" s="135" t="s">
        <v>14</v>
      </c>
      <c r="F287" s="135" t="s">
        <v>15</v>
      </c>
      <c r="G287" s="137">
        <v>192.74</v>
      </c>
      <c r="H287" s="138">
        <v>51.77</v>
      </c>
      <c r="I287" s="138">
        <f t="shared" ca="1" si="15"/>
        <v>64.712500000000006</v>
      </c>
      <c r="J287" s="139">
        <v>10113.067800000001</v>
      </c>
      <c r="K287" s="140">
        <v>12472.21</v>
      </c>
    </row>
    <row r="288" spans="2:12">
      <c r="B288" s="131" t="s">
        <v>609</v>
      </c>
      <c r="C288" s="154" t="s">
        <v>610</v>
      </c>
      <c r="D288" s="154"/>
      <c r="E288" s="154"/>
      <c r="F288" s="154"/>
      <c r="G288" s="154"/>
      <c r="H288" s="154"/>
      <c r="I288" s="131"/>
      <c r="J288" s="132">
        <v>544825.54370000004</v>
      </c>
      <c r="K288" s="133">
        <f>SUM(K289,K301)</f>
        <v>679131.22000000009</v>
      </c>
    </row>
    <row r="289" spans="2:11">
      <c r="B289" s="131" t="s">
        <v>611</v>
      </c>
      <c r="C289" s="154" t="s">
        <v>50</v>
      </c>
      <c r="D289" s="154"/>
      <c r="E289" s="154"/>
      <c r="F289" s="154"/>
      <c r="G289" s="154"/>
      <c r="H289" s="154"/>
      <c r="I289" s="131"/>
      <c r="J289" s="132">
        <v>475557.2672</v>
      </c>
      <c r="K289" s="133">
        <f>SUM(K290:K300)</f>
        <v>593723.99000000011</v>
      </c>
    </row>
    <row r="290" spans="2:11" ht="28.8" customHeight="1">
      <c r="B290" s="134" t="s">
        <v>612</v>
      </c>
      <c r="C290" s="135" t="s">
        <v>613</v>
      </c>
      <c r="D290" s="136" t="s">
        <v>614</v>
      </c>
      <c r="E290" s="135" t="s">
        <v>26</v>
      </c>
      <c r="F290" s="135" t="s">
        <v>15</v>
      </c>
      <c r="G290" s="137">
        <v>3748.63</v>
      </c>
      <c r="H290" s="138">
        <v>4.43</v>
      </c>
      <c r="I290" s="138">
        <f t="shared" ref="I290:I303" ca="1" si="17">(H290*J$5)+H290</f>
        <v>5.5374999999999996</v>
      </c>
      <c r="J290" s="139">
        <v>16606.430899999999</v>
      </c>
      <c r="K290" s="140">
        <v>20767.41</v>
      </c>
    </row>
    <row r="291" spans="2:11" ht="28.2" customHeight="1">
      <c r="B291" s="134" t="s">
        <v>615</v>
      </c>
      <c r="C291" s="135" t="s">
        <v>616</v>
      </c>
      <c r="D291" s="136" t="s">
        <v>617</v>
      </c>
      <c r="E291" s="135" t="s">
        <v>26</v>
      </c>
      <c r="F291" s="135" t="s">
        <v>15</v>
      </c>
      <c r="G291" s="137">
        <v>2778.01</v>
      </c>
      <c r="H291" s="138">
        <v>4.43</v>
      </c>
      <c r="I291" s="138">
        <f t="shared" ca="1" si="17"/>
        <v>5.5374999999999996</v>
      </c>
      <c r="J291" s="139">
        <v>12306.5843</v>
      </c>
      <c r="K291" s="140">
        <v>15390.18</v>
      </c>
    </row>
    <row r="292" spans="2:11" ht="35.4" customHeight="1">
      <c r="B292" s="134" t="s">
        <v>618</v>
      </c>
      <c r="C292" s="135" t="s">
        <v>619</v>
      </c>
      <c r="D292" s="136" t="s">
        <v>620</v>
      </c>
      <c r="E292" s="135" t="s">
        <v>26</v>
      </c>
      <c r="F292" s="135" t="s">
        <v>15</v>
      </c>
      <c r="G292" s="137">
        <v>2512.64</v>
      </c>
      <c r="H292" s="138">
        <v>39.57</v>
      </c>
      <c r="I292" s="138">
        <f t="shared" ca="1" si="17"/>
        <v>49.462499999999999</v>
      </c>
      <c r="J292" s="139">
        <v>99425.164799999999</v>
      </c>
      <c r="K292" s="140">
        <v>124275.17</v>
      </c>
    </row>
    <row r="293" spans="2:11" ht="40.200000000000003" customHeight="1">
      <c r="B293" s="134" t="s">
        <v>621</v>
      </c>
      <c r="C293" s="135" t="s">
        <v>622</v>
      </c>
      <c r="D293" s="136" t="s">
        <v>623</v>
      </c>
      <c r="E293" s="135" t="s">
        <v>26</v>
      </c>
      <c r="F293" s="135" t="s">
        <v>15</v>
      </c>
      <c r="G293" s="137">
        <v>729.51</v>
      </c>
      <c r="H293" s="138">
        <v>39.57</v>
      </c>
      <c r="I293" s="138">
        <f t="shared" ca="1" si="17"/>
        <v>49.462499999999999</v>
      </c>
      <c r="J293" s="139">
        <v>28866.7107</v>
      </c>
      <c r="K293" s="140">
        <v>36081.56</v>
      </c>
    </row>
    <row r="294" spans="2:11" ht="29.4" customHeight="1">
      <c r="B294" s="134" t="s">
        <v>624</v>
      </c>
      <c r="C294" s="135" t="s">
        <v>625</v>
      </c>
      <c r="D294" s="136" t="s">
        <v>626</v>
      </c>
      <c r="E294" s="135" t="s">
        <v>14</v>
      </c>
      <c r="F294" s="135" t="s">
        <v>15</v>
      </c>
      <c r="G294" s="137">
        <v>523.91999999999996</v>
      </c>
      <c r="H294" s="138">
        <v>62.91</v>
      </c>
      <c r="I294" s="138">
        <f t="shared" ca="1" si="17"/>
        <v>78.637499999999989</v>
      </c>
      <c r="J294" s="139">
        <v>33295.116000000002</v>
      </c>
      <c r="K294" s="140">
        <v>41201.07</v>
      </c>
    </row>
    <row r="295" spans="2:11" ht="31.2" customHeight="1">
      <c r="B295" s="134" t="s">
        <v>627</v>
      </c>
      <c r="C295" s="135" t="s">
        <v>628</v>
      </c>
      <c r="D295" s="136" t="s">
        <v>629</v>
      </c>
      <c r="E295" s="135" t="s">
        <v>26</v>
      </c>
      <c r="F295" s="135" t="s">
        <v>15</v>
      </c>
      <c r="G295" s="137">
        <v>141.12</v>
      </c>
      <c r="H295" s="138">
        <v>56.63</v>
      </c>
      <c r="I295" s="138">
        <f t="shared" ca="1" si="17"/>
        <v>70.787500000000009</v>
      </c>
      <c r="J295" s="139">
        <v>7991.6256000000003</v>
      </c>
      <c r="K295" s="140">
        <v>9989.8799999999992</v>
      </c>
    </row>
    <row r="296" spans="2:11" ht="27" customHeight="1">
      <c r="B296" s="134" t="s">
        <v>630</v>
      </c>
      <c r="C296" s="135" t="s">
        <v>631</v>
      </c>
      <c r="D296" s="136" t="s">
        <v>632</v>
      </c>
      <c r="E296" s="135" t="s">
        <v>26</v>
      </c>
      <c r="F296" s="135" t="s">
        <v>15</v>
      </c>
      <c r="G296" s="137">
        <v>64.48</v>
      </c>
      <c r="H296" s="138">
        <v>56.63</v>
      </c>
      <c r="I296" s="138">
        <f t="shared" ca="1" si="17"/>
        <v>70.787500000000009</v>
      </c>
      <c r="J296" s="139">
        <v>3651.5023999999999</v>
      </c>
      <c r="K296" s="140">
        <v>4564.54</v>
      </c>
    </row>
    <row r="297" spans="2:11" ht="22.2" customHeight="1">
      <c r="B297" s="134" t="s">
        <v>633</v>
      </c>
      <c r="C297" s="135" t="s">
        <v>634</v>
      </c>
      <c r="D297" s="136" t="s">
        <v>635</v>
      </c>
      <c r="E297" s="135" t="s">
        <v>26</v>
      </c>
      <c r="F297" s="135" t="s">
        <v>30</v>
      </c>
      <c r="G297" s="137">
        <v>279.08</v>
      </c>
      <c r="H297" s="138">
        <v>33.46</v>
      </c>
      <c r="I297" s="138">
        <f t="shared" ca="1" si="17"/>
        <v>41.825000000000003</v>
      </c>
      <c r="J297" s="139">
        <v>9338.0167999999994</v>
      </c>
      <c r="K297" s="140">
        <v>11673.92</v>
      </c>
    </row>
    <row r="298" spans="2:11" ht="22.8" customHeight="1">
      <c r="B298" s="134" t="s">
        <v>636</v>
      </c>
      <c r="C298" s="135" t="s">
        <v>637</v>
      </c>
      <c r="D298" s="136" t="s">
        <v>638</v>
      </c>
      <c r="E298" s="135" t="s">
        <v>14</v>
      </c>
      <c r="F298" s="135" t="s">
        <v>15</v>
      </c>
      <c r="G298" s="137">
        <v>514.04999999999995</v>
      </c>
      <c r="H298" s="138">
        <v>73.97</v>
      </c>
      <c r="I298" s="138">
        <f t="shared" ca="1" si="17"/>
        <v>92.462500000000006</v>
      </c>
      <c r="J298" s="139">
        <v>38281.303500000002</v>
      </c>
      <c r="K298" s="140">
        <v>47529.06</v>
      </c>
    </row>
    <row r="299" spans="2:11" ht="33.6" customHeight="1">
      <c r="B299" s="134" t="s">
        <v>639</v>
      </c>
      <c r="C299" s="135" t="s">
        <v>640</v>
      </c>
      <c r="D299" s="136" t="s">
        <v>641</v>
      </c>
      <c r="E299" s="135" t="s">
        <v>26</v>
      </c>
      <c r="F299" s="135" t="s">
        <v>15</v>
      </c>
      <c r="G299" s="137">
        <v>1282.51</v>
      </c>
      <c r="H299" s="138">
        <v>144.78</v>
      </c>
      <c r="I299" s="138">
        <f t="shared" ca="1" si="17"/>
        <v>180.97499999999999</v>
      </c>
      <c r="J299" s="139">
        <v>185681.7978</v>
      </c>
      <c r="K299" s="141">
        <v>232108.66</v>
      </c>
    </row>
    <row r="300" spans="2:11">
      <c r="B300" s="134" t="s">
        <v>642</v>
      </c>
      <c r="C300" s="135" t="s">
        <v>643</v>
      </c>
      <c r="D300" s="136" t="s">
        <v>644</v>
      </c>
      <c r="E300" s="135" t="s">
        <v>26</v>
      </c>
      <c r="F300" s="135" t="s">
        <v>429</v>
      </c>
      <c r="G300" s="137">
        <v>254.88</v>
      </c>
      <c r="H300" s="138">
        <v>157.38</v>
      </c>
      <c r="I300" s="138">
        <f t="shared" ca="1" si="17"/>
        <v>196.72499999999999</v>
      </c>
      <c r="J300" s="139">
        <v>40113.0144</v>
      </c>
      <c r="K300" s="140">
        <v>50142.54</v>
      </c>
    </row>
    <row r="301" spans="2:11">
      <c r="B301" s="131" t="s">
        <v>645</v>
      </c>
      <c r="C301" s="154" t="s">
        <v>646</v>
      </c>
      <c r="D301" s="154"/>
      <c r="E301" s="154"/>
      <c r="F301" s="154"/>
      <c r="G301" s="154"/>
      <c r="H301" s="154"/>
      <c r="I301" s="131"/>
      <c r="J301" s="132">
        <v>69268.276500000007</v>
      </c>
      <c r="K301" s="133">
        <f>SUM(K302:K303)</f>
        <v>85407.23</v>
      </c>
    </row>
    <row r="302" spans="2:11" ht="29.4" customHeight="1">
      <c r="B302" s="134" t="s">
        <v>647</v>
      </c>
      <c r="C302" s="135" t="s">
        <v>648</v>
      </c>
      <c r="D302" s="136" t="s">
        <v>649</v>
      </c>
      <c r="E302" s="135" t="s">
        <v>14</v>
      </c>
      <c r="F302" s="135" t="s">
        <v>15</v>
      </c>
      <c r="G302" s="137">
        <v>1576.07</v>
      </c>
      <c r="H302" s="138">
        <v>4.34</v>
      </c>
      <c r="I302" s="138">
        <f t="shared" ca="1" si="17"/>
        <v>5.4249999999999998</v>
      </c>
      <c r="J302" s="139">
        <v>6950.4687000000004</v>
      </c>
      <c r="K302" s="140">
        <v>8558.06</v>
      </c>
    </row>
    <row r="303" spans="2:11" ht="40.799999999999997" customHeight="1">
      <c r="B303" s="134" t="s">
        <v>650</v>
      </c>
      <c r="C303" s="135" t="s">
        <v>651</v>
      </c>
      <c r="D303" s="136" t="s">
        <v>652</v>
      </c>
      <c r="E303" s="135" t="s">
        <v>14</v>
      </c>
      <c r="F303" s="135" t="s">
        <v>15</v>
      </c>
      <c r="G303" s="137">
        <v>1576.07</v>
      </c>
      <c r="H303" s="138">
        <v>39.01</v>
      </c>
      <c r="I303" s="138">
        <f t="shared" ca="1" si="17"/>
        <v>48.762499999999996</v>
      </c>
      <c r="J303" s="139">
        <v>62317.807800000002</v>
      </c>
      <c r="K303" s="140">
        <v>76849.17</v>
      </c>
    </row>
    <row r="304" spans="2:11">
      <c r="B304" s="131" t="s">
        <v>653</v>
      </c>
      <c r="C304" s="154" t="s">
        <v>654</v>
      </c>
      <c r="D304" s="154"/>
      <c r="E304" s="154"/>
      <c r="F304" s="154"/>
      <c r="G304" s="154"/>
      <c r="H304" s="154"/>
      <c r="I304" s="131"/>
      <c r="J304" s="132">
        <v>537777.80980000005</v>
      </c>
      <c r="K304" s="133">
        <f ca="1">SUM(K305,K314)</f>
        <v>667618.77</v>
      </c>
    </row>
    <row r="305" spans="2:11">
      <c r="B305" s="131" t="s">
        <v>655</v>
      </c>
      <c r="C305" s="154" t="s">
        <v>656</v>
      </c>
      <c r="D305" s="154"/>
      <c r="E305" s="154"/>
      <c r="F305" s="154"/>
      <c r="G305" s="154"/>
      <c r="H305" s="154"/>
      <c r="I305" s="131"/>
      <c r="J305" s="132">
        <v>430894.3786</v>
      </c>
      <c r="K305" s="133">
        <f ca="1">SUM(K306:K313)</f>
        <v>534827.51</v>
      </c>
    </row>
    <row r="306" spans="2:11" ht="20.399999999999999" customHeight="1">
      <c r="B306" s="134" t="s">
        <v>657</v>
      </c>
      <c r="C306" s="135" t="s">
        <v>658</v>
      </c>
      <c r="D306" s="136" t="s">
        <v>659</v>
      </c>
      <c r="E306" s="135" t="s">
        <v>26</v>
      </c>
      <c r="F306" s="135" t="s">
        <v>15</v>
      </c>
      <c r="G306" s="137">
        <v>2740.76</v>
      </c>
      <c r="H306" s="138">
        <v>39.81</v>
      </c>
      <c r="I306" s="138">
        <f t="shared" ref="I306:I324" ca="1" si="18">(H306*J$5)+H306</f>
        <v>49.762500000000003</v>
      </c>
      <c r="J306" s="139">
        <v>109109.6556</v>
      </c>
      <c r="K306" s="140">
        <v>136380.22</v>
      </c>
    </row>
    <row r="307" spans="2:11" ht="43.8" customHeight="1">
      <c r="B307" s="134" t="s">
        <v>660</v>
      </c>
      <c r="C307" s="135" t="s">
        <v>661</v>
      </c>
      <c r="D307" s="136" t="s">
        <v>662</v>
      </c>
      <c r="E307" s="135" t="s">
        <v>14</v>
      </c>
      <c r="F307" s="135" t="s">
        <v>15</v>
      </c>
      <c r="G307" s="137">
        <v>2740.76</v>
      </c>
      <c r="H307" s="138">
        <v>94.76</v>
      </c>
      <c r="I307" s="138">
        <f t="shared" ca="1" si="18"/>
        <v>118.45</v>
      </c>
      <c r="J307" s="139">
        <v>262427.77</v>
      </c>
      <c r="K307" s="140">
        <v>324643.02</v>
      </c>
    </row>
    <row r="308" spans="2:11" ht="36.6" customHeight="1">
      <c r="B308" s="134" t="s">
        <v>663</v>
      </c>
      <c r="C308" s="135" t="s">
        <v>604</v>
      </c>
      <c r="D308" s="136" t="s">
        <v>605</v>
      </c>
      <c r="E308" s="135" t="s">
        <v>14</v>
      </c>
      <c r="F308" s="135" t="s">
        <v>15</v>
      </c>
      <c r="G308" s="137">
        <v>345.56</v>
      </c>
      <c r="H308" s="138">
        <v>49.09</v>
      </c>
      <c r="I308" s="138">
        <f t="shared" ca="1" si="18"/>
        <v>61.362500000000004</v>
      </c>
      <c r="J308" s="139">
        <v>17188.154399999999</v>
      </c>
      <c r="K308" s="140">
        <v>21203.56</v>
      </c>
    </row>
    <row r="309" spans="2:11" ht="29.4" customHeight="1">
      <c r="B309" s="134" t="s">
        <v>664</v>
      </c>
      <c r="C309" s="135" t="s">
        <v>665</v>
      </c>
      <c r="D309" s="136" t="s">
        <v>666</v>
      </c>
      <c r="E309" s="135" t="s">
        <v>14</v>
      </c>
      <c r="F309" s="135" t="s">
        <v>15</v>
      </c>
      <c r="G309" s="137">
        <v>345.56</v>
      </c>
      <c r="H309" s="138">
        <v>49.1</v>
      </c>
      <c r="I309" s="138">
        <f t="shared" ca="1" si="18"/>
        <v>61.375</v>
      </c>
      <c r="J309" s="139">
        <v>17049.930400000001</v>
      </c>
      <c r="K309" s="140">
        <v>21210.47</v>
      </c>
    </row>
    <row r="310" spans="2:11">
      <c r="B310" s="134" t="s">
        <v>667</v>
      </c>
      <c r="C310" s="135" t="s">
        <v>668</v>
      </c>
      <c r="D310" s="136" t="s">
        <v>669</v>
      </c>
      <c r="E310" s="135" t="s">
        <v>26</v>
      </c>
      <c r="F310" s="135" t="s">
        <v>30</v>
      </c>
      <c r="G310" s="137">
        <v>53.28</v>
      </c>
      <c r="H310" s="138">
        <v>8.1999999999999993</v>
      </c>
      <c r="I310" s="138">
        <f t="shared" ca="1" si="18"/>
        <v>10.25</v>
      </c>
      <c r="J310" s="139">
        <v>436.89600000000002</v>
      </c>
      <c r="K310" s="140">
        <f t="shared" ref="K310:K317" ca="1" si="19">I310*G310</f>
        <v>546.12</v>
      </c>
    </row>
    <row r="311" spans="2:11">
      <c r="B311" s="134" t="s">
        <v>670</v>
      </c>
      <c r="C311" s="135" t="s">
        <v>671</v>
      </c>
      <c r="D311" s="136" t="s">
        <v>672</v>
      </c>
      <c r="E311" s="135" t="s">
        <v>26</v>
      </c>
      <c r="F311" s="135" t="s">
        <v>30</v>
      </c>
      <c r="G311" s="137">
        <v>705.52</v>
      </c>
      <c r="H311" s="138">
        <v>23.41</v>
      </c>
      <c r="I311" s="138">
        <f t="shared" ca="1" si="18"/>
        <v>29.262499999999999</v>
      </c>
      <c r="J311" s="139">
        <v>16516.2232</v>
      </c>
      <c r="K311" s="140">
        <v>20643.52</v>
      </c>
    </row>
    <row r="312" spans="2:11">
      <c r="B312" s="134" t="s">
        <v>673</v>
      </c>
      <c r="C312" s="135" t="s">
        <v>674</v>
      </c>
      <c r="D312" s="136" t="s">
        <v>675</v>
      </c>
      <c r="E312" s="135" t="s">
        <v>14</v>
      </c>
      <c r="F312" s="135" t="s">
        <v>30</v>
      </c>
      <c r="G312" s="137">
        <v>10.87</v>
      </c>
      <c r="H312" s="138">
        <v>87.76</v>
      </c>
      <c r="I312" s="138">
        <f t="shared" ca="1" si="18"/>
        <v>109.7</v>
      </c>
      <c r="J312" s="139">
        <v>959.38620000000003</v>
      </c>
      <c r="K312" s="140">
        <v>1192.44</v>
      </c>
    </row>
    <row r="313" spans="2:11">
      <c r="B313" s="134" t="s">
        <v>676</v>
      </c>
      <c r="C313" s="135" t="s">
        <v>677</v>
      </c>
      <c r="D313" s="136" t="s">
        <v>678</v>
      </c>
      <c r="E313" s="135" t="s">
        <v>26</v>
      </c>
      <c r="F313" s="135" t="s">
        <v>30</v>
      </c>
      <c r="G313" s="137">
        <v>81.64</v>
      </c>
      <c r="H313" s="138">
        <v>88.27</v>
      </c>
      <c r="I313" s="138">
        <f t="shared" ca="1" si="18"/>
        <v>110.33749999999999</v>
      </c>
      <c r="J313" s="139">
        <v>7206.3627999999999</v>
      </c>
      <c r="K313" s="140">
        <v>9008.16</v>
      </c>
    </row>
    <row r="314" spans="2:11">
      <c r="B314" s="131" t="s">
        <v>679</v>
      </c>
      <c r="C314" s="154" t="s">
        <v>680</v>
      </c>
      <c r="D314" s="154"/>
      <c r="E314" s="154"/>
      <c r="F314" s="154"/>
      <c r="G314" s="154"/>
      <c r="H314" s="154"/>
      <c r="I314" s="131"/>
      <c r="J314" s="132">
        <v>106883.43120000001</v>
      </c>
      <c r="K314" s="133">
        <f ca="1">SUM(K315:K324)</f>
        <v>132791.25999999998</v>
      </c>
    </row>
    <row r="315" spans="2:11" ht="27" customHeight="1">
      <c r="B315" s="134" t="s">
        <v>681</v>
      </c>
      <c r="C315" s="135" t="s">
        <v>682</v>
      </c>
      <c r="D315" s="136" t="s">
        <v>683</v>
      </c>
      <c r="E315" s="135" t="s">
        <v>14</v>
      </c>
      <c r="F315" s="135" t="s">
        <v>15</v>
      </c>
      <c r="G315" s="137">
        <v>704.24</v>
      </c>
      <c r="H315" s="138">
        <v>44.26</v>
      </c>
      <c r="I315" s="138">
        <f t="shared" ca="1" si="18"/>
        <v>55.324999999999996</v>
      </c>
      <c r="J315" s="139">
        <v>31465.443200000002</v>
      </c>
      <c r="K315" s="140">
        <v>38965.599999999999</v>
      </c>
    </row>
    <row r="316" spans="2:11" ht="30.6" customHeight="1">
      <c r="B316" s="134" t="s">
        <v>684</v>
      </c>
      <c r="C316" s="135" t="s">
        <v>685</v>
      </c>
      <c r="D316" s="136" t="s">
        <v>686</v>
      </c>
      <c r="E316" s="135" t="s">
        <v>14</v>
      </c>
      <c r="F316" s="135" t="s">
        <v>15</v>
      </c>
      <c r="G316" s="137">
        <v>157.83000000000001</v>
      </c>
      <c r="H316" s="138">
        <v>46.72</v>
      </c>
      <c r="I316" s="138">
        <f t="shared" ca="1" si="18"/>
        <v>58.4</v>
      </c>
      <c r="J316" s="139">
        <v>7446.4193999999998</v>
      </c>
      <c r="K316" s="140">
        <v>9217.27</v>
      </c>
    </row>
    <row r="317" spans="2:11" ht="28.2" customHeight="1">
      <c r="B317" s="134" t="s">
        <v>687</v>
      </c>
      <c r="C317" s="135" t="s">
        <v>688</v>
      </c>
      <c r="D317" s="136" t="s">
        <v>689</v>
      </c>
      <c r="E317" s="135" t="s">
        <v>14</v>
      </c>
      <c r="F317" s="135" t="s">
        <v>15</v>
      </c>
      <c r="G317" s="137">
        <v>109.25</v>
      </c>
      <c r="H317" s="138">
        <v>76.959999999999994</v>
      </c>
      <c r="I317" s="138">
        <f t="shared" ca="1" si="18"/>
        <v>96.199999999999989</v>
      </c>
      <c r="J317" s="139">
        <v>8446.1175000000003</v>
      </c>
      <c r="K317" s="140">
        <f t="shared" ca="1" si="19"/>
        <v>10509.849999999999</v>
      </c>
    </row>
    <row r="318" spans="2:11" ht="25.2" customHeight="1">
      <c r="B318" s="134" t="s">
        <v>690</v>
      </c>
      <c r="C318" s="135" t="s">
        <v>691</v>
      </c>
      <c r="D318" s="136" t="s">
        <v>692</v>
      </c>
      <c r="E318" s="135" t="s">
        <v>14</v>
      </c>
      <c r="F318" s="135" t="s">
        <v>15</v>
      </c>
      <c r="G318" s="137">
        <v>150.79</v>
      </c>
      <c r="H318" s="138">
        <v>65.790000000000006</v>
      </c>
      <c r="I318" s="138">
        <f t="shared" ca="1" si="18"/>
        <v>82.237500000000011</v>
      </c>
      <c r="J318" s="139">
        <v>9932.5373</v>
      </c>
      <c r="K318" s="140">
        <v>12400.97</v>
      </c>
    </row>
    <row r="319" spans="2:11">
      <c r="B319" s="134" t="s">
        <v>693</v>
      </c>
      <c r="C319" s="135" t="s">
        <v>694</v>
      </c>
      <c r="D319" s="136" t="s">
        <v>695</v>
      </c>
      <c r="E319" s="135" t="s">
        <v>26</v>
      </c>
      <c r="F319" s="135" t="s">
        <v>15</v>
      </c>
      <c r="G319" s="137">
        <v>31.81</v>
      </c>
      <c r="H319" s="138">
        <v>186.86</v>
      </c>
      <c r="I319" s="138">
        <f t="shared" ca="1" si="18"/>
        <v>233.57500000000002</v>
      </c>
      <c r="J319" s="139">
        <v>5944.0165999999999</v>
      </c>
      <c r="K319" s="140">
        <v>7430.18</v>
      </c>
    </row>
    <row r="320" spans="2:11" ht="20.399999999999999" customHeight="1">
      <c r="B320" s="134" t="s">
        <v>696</v>
      </c>
      <c r="C320" s="135" t="s">
        <v>697</v>
      </c>
      <c r="D320" s="136" t="s">
        <v>698</v>
      </c>
      <c r="E320" s="135" t="s">
        <v>26</v>
      </c>
      <c r="F320" s="135" t="s">
        <v>15</v>
      </c>
      <c r="G320" s="137">
        <v>8.56</v>
      </c>
      <c r="H320" s="138">
        <v>186.86</v>
      </c>
      <c r="I320" s="138">
        <f t="shared" ca="1" si="18"/>
        <v>233.57500000000002</v>
      </c>
      <c r="J320" s="139">
        <v>1599.5216</v>
      </c>
      <c r="K320" s="140">
        <v>1999.44</v>
      </c>
    </row>
    <row r="321" spans="2:11" ht="21.6" customHeight="1">
      <c r="B321" s="134" t="s">
        <v>699</v>
      </c>
      <c r="C321" s="135" t="s">
        <v>700</v>
      </c>
      <c r="D321" s="136" t="s">
        <v>701</v>
      </c>
      <c r="E321" s="135" t="s">
        <v>26</v>
      </c>
      <c r="F321" s="135" t="s">
        <v>15</v>
      </c>
      <c r="G321" s="137">
        <v>27</v>
      </c>
      <c r="H321" s="138">
        <v>186.86</v>
      </c>
      <c r="I321" s="138">
        <f t="shared" ca="1" si="18"/>
        <v>233.57500000000002</v>
      </c>
      <c r="J321" s="139">
        <v>5045.22</v>
      </c>
      <c r="K321" s="140">
        <v>6306.66</v>
      </c>
    </row>
    <row r="322" spans="2:11" ht="14.4" customHeight="1">
      <c r="B322" s="134" t="s">
        <v>702</v>
      </c>
      <c r="C322" s="135" t="s">
        <v>703</v>
      </c>
      <c r="D322" s="136" t="s">
        <v>704</v>
      </c>
      <c r="E322" s="135" t="s">
        <v>26</v>
      </c>
      <c r="F322" s="135" t="s">
        <v>54</v>
      </c>
      <c r="G322" s="137">
        <v>39.24</v>
      </c>
      <c r="H322" s="138">
        <v>138.56</v>
      </c>
      <c r="I322" s="138">
        <f t="shared" ca="1" si="18"/>
        <v>173.2</v>
      </c>
      <c r="J322" s="139">
        <v>5437.0944</v>
      </c>
      <c r="K322" s="140">
        <v>6796.37</v>
      </c>
    </row>
    <row r="323" spans="2:11">
      <c r="B323" s="134" t="s">
        <v>705</v>
      </c>
      <c r="C323" s="135" t="s">
        <v>706</v>
      </c>
      <c r="D323" s="136" t="s">
        <v>707</v>
      </c>
      <c r="E323" s="135" t="s">
        <v>14</v>
      </c>
      <c r="F323" s="135" t="s">
        <v>15</v>
      </c>
      <c r="G323" s="137">
        <v>1717.06</v>
      </c>
      <c r="H323" s="138">
        <v>14.72</v>
      </c>
      <c r="I323" s="138">
        <f t="shared" ca="1" si="18"/>
        <v>18.400000000000002</v>
      </c>
      <c r="J323" s="139">
        <v>25446.8292</v>
      </c>
      <c r="K323" s="140">
        <v>31593.9</v>
      </c>
    </row>
    <row r="324" spans="2:11" ht="25.8" customHeight="1">
      <c r="B324" s="134" t="s">
        <v>708</v>
      </c>
      <c r="C324" s="135" t="s">
        <v>709</v>
      </c>
      <c r="D324" s="136" t="s">
        <v>710</v>
      </c>
      <c r="E324" s="135" t="s">
        <v>14</v>
      </c>
      <c r="F324" s="135" t="s">
        <v>30</v>
      </c>
      <c r="G324" s="137">
        <v>170.48</v>
      </c>
      <c r="H324" s="138">
        <v>35.53</v>
      </c>
      <c r="I324" s="138">
        <f t="shared" ca="1" si="18"/>
        <v>44.412500000000001</v>
      </c>
      <c r="J324" s="139">
        <v>6120.232</v>
      </c>
      <c r="K324" s="140">
        <v>7571.02</v>
      </c>
    </row>
    <row r="325" spans="2:11">
      <c r="B325" s="131" t="s">
        <v>711</v>
      </c>
      <c r="C325" s="154" t="s">
        <v>712</v>
      </c>
      <c r="D325" s="154"/>
      <c r="E325" s="154"/>
      <c r="F325" s="154"/>
      <c r="G325" s="154"/>
      <c r="H325" s="154"/>
      <c r="I325" s="131"/>
      <c r="J325" s="132">
        <v>275308.05170000001</v>
      </c>
      <c r="K325" s="133">
        <f ca="1">SUM(K326,K342,K345)</f>
        <v>342278.68499999994</v>
      </c>
    </row>
    <row r="326" spans="2:11">
      <c r="B326" s="131" t="s">
        <v>713</v>
      </c>
      <c r="C326" s="154" t="s">
        <v>50</v>
      </c>
      <c r="D326" s="154"/>
      <c r="E326" s="154"/>
      <c r="F326" s="154"/>
      <c r="G326" s="154"/>
      <c r="H326" s="154"/>
      <c r="I326" s="131"/>
      <c r="J326" s="132">
        <v>125452.8637</v>
      </c>
      <c r="K326" s="133">
        <f ca="1">SUM(K327:K341)</f>
        <v>156151.77499999997</v>
      </c>
    </row>
    <row r="327" spans="2:11" ht="25.2" customHeight="1">
      <c r="B327" s="134" t="s">
        <v>714</v>
      </c>
      <c r="C327" s="135" t="s">
        <v>715</v>
      </c>
      <c r="D327" s="136" t="s">
        <v>716</v>
      </c>
      <c r="E327" s="135" t="s">
        <v>26</v>
      </c>
      <c r="F327" s="135" t="s">
        <v>15</v>
      </c>
      <c r="G327" s="137">
        <v>514.04999999999995</v>
      </c>
      <c r="H327" s="138">
        <v>20.88</v>
      </c>
      <c r="I327" s="138">
        <f t="shared" ref="I327:I344" ca="1" si="20">(H327*J$5)+H327</f>
        <v>26.099999999999998</v>
      </c>
      <c r="J327" s="139">
        <v>10733.364</v>
      </c>
      <c r="K327" s="140">
        <v>13416.71</v>
      </c>
    </row>
    <row r="328" spans="2:11" ht="25.8" customHeight="1">
      <c r="B328" s="134" t="s">
        <v>717</v>
      </c>
      <c r="C328" s="135" t="s">
        <v>718</v>
      </c>
      <c r="D328" s="136" t="s">
        <v>719</v>
      </c>
      <c r="E328" s="135" t="s">
        <v>14</v>
      </c>
      <c r="F328" s="135" t="s">
        <v>15</v>
      </c>
      <c r="G328" s="137">
        <v>1427.77</v>
      </c>
      <c r="H328" s="138">
        <v>17.61</v>
      </c>
      <c r="I328" s="138">
        <f t="shared" ca="1" si="20"/>
        <v>22.012499999999999</v>
      </c>
      <c r="J328" s="139">
        <v>25571.360700000001</v>
      </c>
      <c r="K328" s="140">
        <v>31425.22</v>
      </c>
    </row>
    <row r="329" spans="2:11">
      <c r="B329" s="134" t="s">
        <v>720</v>
      </c>
      <c r="C329" s="135" t="s">
        <v>721</v>
      </c>
      <c r="D329" s="136" t="s">
        <v>722</v>
      </c>
      <c r="E329" s="135" t="s">
        <v>26</v>
      </c>
      <c r="F329" s="135" t="s">
        <v>15</v>
      </c>
      <c r="G329" s="137">
        <v>103.22</v>
      </c>
      <c r="H329" s="138">
        <v>18.48</v>
      </c>
      <c r="I329" s="138">
        <f t="shared" ca="1" si="20"/>
        <v>23.1</v>
      </c>
      <c r="J329" s="139">
        <v>1907.5056</v>
      </c>
      <c r="K329" s="140">
        <v>2384.38</v>
      </c>
    </row>
    <row r="330" spans="2:11">
      <c r="B330" s="134" t="s">
        <v>723</v>
      </c>
      <c r="C330" s="135" t="s">
        <v>724</v>
      </c>
      <c r="D330" s="136" t="s">
        <v>725</v>
      </c>
      <c r="E330" s="135" t="s">
        <v>26</v>
      </c>
      <c r="F330" s="135" t="s">
        <v>15</v>
      </c>
      <c r="G330" s="137">
        <v>1679.29</v>
      </c>
      <c r="H330" s="138">
        <v>11.97</v>
      </c>
      <c r="I330" s="138">
        <f t="shared" ca="1" si="20"/>
        <v>14.9625</v>
      </c>
      <c r="J330" s="139">
        <v>20101.101299999998</v>
      </c>
      <c r="K330" s="140">
        <v>25122.18</v>
      </c>
    </row>
    <row r="331" spans="2:11" ht="30" customHeight="1">
      <c r="B331" s="134" t="s">
        <v>726</v>
      </c>
      <c r="C331" s="135" t="s">
        <v>727</v>
      </c>
      <c r="D331" s="136" t="s">
        <v>728</v>
      </c>
      <c r="E331" s="135" t="s">
        <v>26</v>
      </c>
      <c r="F331" s="135" t="s">
        <v>15</v>
      </c>
      <c r="G331" s="137">
        <v>318.23</v>
      </c>
      <c r="H331" s="138">
        <v>11.97</v>
      </c>
      <c r="I331" s="138">
        <f t="shared" ca="1" si="20"/>
        <v>14.9625</v>
      </c>
      <c r="J331" s="139">
        <v>3809.2130999999999</v>
      </c>
      <c r="K331" s="140">
        <v>4760.72</v>
      </c>
    </row>
    <row r="332" spans="2:11" ht="16.2" customHeight="1">
      <c r="B332" s="134" t="s">
        <v>729</v>
      </c>
      <c r="C332" s="135" t="s">
        <v>730</v>
      </c>
      <c r="D332" s="136" t="s">
        <v>731</v>
      </c>
      <c r="E332" s="135" t="s">
        <v>14</v>
      </c>
      <c r="F332" s="135" t="s">
        <v>15</v>
      </c>
      <c r="G332" s="137">
        <v>514.04999999999995</v>
      </c>
      <c r="H332" s="138">
        <v>14.06</v>
      </c>
      <c r="I332" s="138">
        <f t="shared" ca="1" si="20"/>
        <v>17.574999999999999</v>
      </c>
      <c r="J332" s="139">
        <v>7325.2124999999996</v>
      </c>
      <c r="K332" s="140">
        <v>9037</v>
      </c>
    </row>
    <row r="333" spans="2:11" ht="30" customHeight="1">
      <c r="B333" s="134" t="s">
        <v>732</v>
      </c>
      <c r="C333" s="135" t="s">
        <v>733</v>
      </c>
      <c r="D333" s="136" t="s">
        <v>734</v>
      </c>
      <c r="E333" s="135" t="s">
        <v>26</v>
      </c>
      <c r="F333" s="135" t="s">
        <v>15</v>
      </c>
      <c r="G333" s="137">
        <v>281.45</v>
      </c>
      <c r="H333" s="138">
        <v>11.97</v>
      </c>
      <c r="I333" s="138">
        <f t="shared" ca="1" si="20"/>
        <v>14.9625</v>
      </c>
      <c r="J333" s="139">
        <v>3368.9564999999998</v>
      </c>
      <c r="K333" s="140">
        <v>4210.49</v>
      </c>
    </row>
    <row r="334" spans="2:11" ht="29.4" customHeight="1">
      <c r="B334" s="134" t="s">
        <v>735</v>
      </c>
      <c r="C334" s="135" t="s">
        <v>736</v>
      </c>
      <c r="D334" s="136" t="s">
        <v>737</v>
      </c>
      <c r="E334" s="135" t="s">
        <v>26</v>
      </c>
      <c r="F334" s="135" t="s">
        <v>15</v>
      </c>
      <c r="G334" s="137">
        <v>24.37</v>
      </c>
      <c r="H334" s="138">
        <v>11.97</v>
      </c>
      <c r="I334" s="138">
        <f t="shared" ca="1" si="20"/>
        <v>14.9625</v>
      </c>
      <c r="J334" s="139">
        <v>291.70890000000003</v>
      </c>
      <c r="K334" s="140">
        <v>364.58</v>
      </c>
    </row>
    <row r="335" spans="2:11">
      <c r="B335" s="134" t="s">
        <v>738</v>
      </c>
      <c r="C335" s="135" t="s">
        <v>739</v>
      </c>
      <c r="D335" s="136" t="s">
        <v>740</v>
      </c>
      <c r="E335" s="135" t="s">
        <v>26</v>
      </c>
      <c r="F335" s="135" t="s">
        <v>15</v>
      </c>
      <c r="G335" s="137">
        <v>138.78</v>
      </c>
      <c r="H335" s="138">
        <v>11.97</v>
      </c>
      <c r="I335" s="138">
        <f t="shared" ca="1" si="20"/>
        <v>14.9625</v>
      </c>
      <c r="J335" s="139">
        <v>1661.1966</v>
      </c>
      <c r="K335" s="140">
        <v>2076.15</v>
      </c>
    </row>
    <row r="336" spans="2:11">
      <c r="B336" s="134" t="s">
        <v>741</v>
      </c>
      <c r="C336" s="135" t="s">
        <v>742</v>
      </c>
      <c r="D336" s="136" t="s">
        <v>743</v>
      </c>
      <c r="E336" s="135" t="s">
        <v>26</v>
      </c>
      <c r="F336" s="135" t="s">
        <v>15</v>
      </c>
      <c r="G336" s="137">
        <v>209.79</v>
      </c>
      <c r="H336" s="138">
        <v>18.46</v>
      </c>
      <c r="I336" s="138">
        <f t="shared" ca="1" si="20"/>
        <v>23.075000000000003</v>
      </c>
      <c r="J336" s="139">
        <v>3872.7233999999999</v>
      </c>
      <c r="K336" s="140">
        <v>4841.95</v>
      </c>
    </row>
    <row r="337" spans="2:11">
      <c r="B337" s="134" t="s">
        <v>744</v>
      </c>
      <c r="C337" s="135" t="s">
        <v>745</v>
      </c>
      <c r="D337" s="136" t="s">
        <v>746</v>
      </c>
      <c r="E337" s="135" t="s">
        <v>26</v>
      </c>
      <c r="F337" s="135" t="s">
        <v>15</v>
      </c>
      <c r="G337" s="137">
        <v>41.86</v>
      </c>
      <c r="H337" s="138">
        <v>18.46</v>
      </c>
      <c r="I337" s="138">
        <f t="shared" ca="1" si="20"/>
        <v>23.075000000000003</v>
      </c>
      <c r="J337" s="139">
        <v>772.73559999999998</v>
      </c>
      <c r="K337" s="140">
        <v>966.13</v>
      </c>
    </row>
    <row r="338" spans="2:11" ht="29.4" customHeight="1">
      <c r="B338" s="134" t="s">
        <v>747</v>
      </c>
      <c r="C338" s="135" t="s">
        <v>748</v>
      </c>
      <c r="D338" s="136" t="s">
        <v>749</v>
      </c>
      <c r="E338" s="135" t="s">
        <v>26</v>
      </c>
      <c r="F338" s="135" t="s">
        <v>15</v>
      </c>
      <c r="G338" s="137">
        <v>388.75</v>
      </c>
      <c r="H338" s="138">
        <v>11.97</v>
      </c>
      <c r="I338" s="138">
        <f t="shared" ca="1" si="20"/>
        <v>14.9625</v>
      </c>
      <c r="J338" s="139">
        <v>4653.3374999999996</v>
      </c>
      <c r="K338" s="140">
        <v>5815.7</v>
      </c>
    </row>
    <row r="339" spans="2:11">
      <c r="B339" s="134" t="s">
        <v>750</v>
      </c>
      <c r="C339" s="135" t="s">
        <v>751</v>
      </c>
      <c r="D339" s="136" t="s">
        <v>752</v>
      </c>
      <c r="E339" s="135" t="s">
        <v>26</v>
      </c>
      <c r="F339" s="135" t="s">
        <v>15</v>
      </c>
      <c r="G339" s="137">
        <v>645.14</v>
      </c>
      <c r="H339" s="138">
        <v>12.6</v>
      </c>
      <c r="I339" s="138">
        <f t="shared" ca="1" si="20"/>
        <v>15.75</v>
      </c>
      <c r="J339" s="139">
        <v>8128.7640000000001</v>
      </c>
      <c r="K339" s="140">
        <v>10160.959999999999</v>
      </c>
    </row>
    <row r="340" spans="2:11">
      <c r="B340" s="134" t="s">
        <v>753</v>
      </c>
      <c r="C340" s="135" t="s">
        <v>754</v>
      </c>
      <c r="D340" s="136" t="s">
        <v>755</v>
      </c>
      <c r="E340" s="135" t="s">
        <v>26</v>
      </c>
      <c r="F340" s="135" t="s">
        <v>15</v>
      </c>
      <c r="G340" s="137">
        <v>2030.96</v>
      </c>
      <c r="H340" s="138">
        <v>12.6</v>
      </c>
      <c r="I340" s="138">
        <f t="shared" ca="1" si="20"/>
        <v>15.75</v>
      </c>
      <c r="J340" s="139">
        <v>25590.096000000001</v>
      </c>
      <c r="K340" s="140">
        <v>31987.62</v>
      </c>
    </row>
    <row r="341" spans="2:11">
      <c r="B341" s="134" t="s">
        <v>756</v>
      </c>
      <c r="C341" s="135" t="s">
        <v>757</v>
      </c>
      <c r="D341" s="136" t="s">
        <v>758</v>
      </c>
      <c r="E341" s="135" t="s">
        <v>26</v>
      </c>
      <c r="F341" s="135" t="s">
        <v>15</v>
      </c>
      <c r="G341" s="137">
        <v>608.38</v>
      </c>
      <c r="H341" s="138">
        <v>12.6</v>
      </c>
      <c r="I341" s="138">
        <f t="shared" ca="1" si="20"/>
        <v>15.75</v>
      </c>
      <c r="J341" s="139">
        <v>7665.5879999999997</v>
      </c>
      <c r="K341" s="140">
        <f t="shared" ref="K341" ca="1" si="21">I341*G341</f>
        <v>9581.9850000000006</v>
      </c>
    </row>
    <row r="342" spans="2:11">
      <c r="B342" s="131" t="s">
        <v>759</v>
      </c>
      <c r="C342" s="154" t="s">
        <v>646</v>
      </c>
      <c r="D342" s="154"/>
      <c r="E342" s="154"/>
      <c r="F342" s="154"/>
      <c r="G342" s="154"/>
      <c r="H342" s="154"/>
      <c r="I342" s="131"/>
      <c r="J342" s="132">
        <v>19858.482</v>
      </c>
      <c r="K342" s="133">
        <f>SUM(K343:K344)</f>
        <v>24823.1</v>
      </c>
    </row>
    <row r="343" spans="2:11">
      <c r="B343" s="134" t="s">
        <v>760</v>
      </c>
      <c r="C343" s="135" t="s">
        <v>754</v>
      </c>
      <c r="D343" s="136" t="s">
        <v>755</v>
      </c>
      <c r="E343" s="135" t="s">
        <v>26</v>
      </c>
      <c r="F343" s="135" t="s">
        <v>15</v>
      </c>
      <c r="G343" s="137">
        <v>1478.8</v>
      </c>
      <c r="H343" s="138">
        <v>12.6</v>
      </c>
      <c r="I343" s="138">
        <f t="shared" ca="1" si="20"/>
        <v>15.75</v>
      </c>
      <c r="J343" s="139">
        <v>18632.88</v>
      </c>
      <c r="K343" s="140">
        <v>23291.1</v>
      </c>
    </row>
    <row r="344" spans="2:11">
      <c r="B344" s="134" t="s">
        <v>761</v>
      </c>
      <c r="C344" s="135" t="s">
        <v>757</v>
      </c>
      <c r="D344" s="136" t="s">
        <v>758</v>
      </c>
      <c r="E344" s="135" t="s">
        <v>26</v>
      </c>
      <c r="F344" s="135" t="s">
        <v>15</v>
      </c>
      <c r="G344" s="137">
        <v>97.27</v>
      </c>
      <c r="H344" s="138">
        <v>12.6</v>
      </c>
      <c r="I344" s="138">
        <f t="shared" ca="1" si="20"/>
        <v>15.75</v>
      </c>
      <c r="J344" s="139">
        <v>1225.6020000000001</v>
      </c>
      <c r="K344" s="140">
        <v>1532</v>
      </c>
    </row>
    <row r="345" spans="2:11">
      <c r="B345" s="131" t="s">
        <v>762</v>
      </c>
      <c r="C345" s="154" t="s">
        <v>763</v>
      </c>
      <c r="D345" s="154"/>
      <c r="E345" s="154"/>
      <c r="F345" s="154"/>
      <c r="G345" s="154"/>
      <c r="H345" s="154"/>
      <c r="I345" s="131"/>
      <c r="J345" s="132">
        <v>129996.70600000001</v>
      </c>
      <c r="K345" s="133">
        <f>SUM(K348,K346)</f>
        <v>161303.81</v>
      </c>
    </row>
    <row r="346" spans="2:11">
      <c r="B346" s="131" t="s">
        <v>764</v>
      </c>
      <c r="C346" s="154" t="s">
        <v>329</v>
      </c>
      <c r="D346" s="154"/>
      <c r="E346" s="154"/>
      <c r="F346" s="154"/>
      <c r="G346" s="154"/>
      <c r="H346" s="154"/>
      <c r="I346" s="131"/>
      <c r="J346" s="132">
        <v>98285.025999999998</v>
      </c>
      <c r="K346" s="133">
        <f>SUM(K347)</f>
        <v>121787.97</v>
      </c>
    </row>
    <row r="347" spans="2:11" ht="34.200000000000003" customHeight="1">
      <c r="B347" s="134" t="s">
        <v>765</v>
      </c>
      <c r="C347" s="135" t="s">
        <v>766</v>
      </c>
      <c r="D347" s="136" t="s">
        <v>767</v>
      </c>
      <c r="E347" s="135" t="s">
        <v>14</v>
      </c>
      <c r="F347" s="135" t="s">
        <v>15</v>
      </c>
      <c r="G347" s="137">
        <v>6104.66</v>
      </c>
      <c r="H347" s="138">
        <v>15.96</v>
      </c>
      <c r="I347" s="138">
        <f t="shared" ref="I347" ca="1" si="22">(H347*J$5)+H347</f>
        <v>19.950000000000003</v>
      </c>
      <c r="J347" s="139">
        <v>98285.025999999998</v>
      </c>
      <c r="K347" s="140">
        <v>121787.97</v>
      </c>
    </row>
    <row r="348" spans="2:11">
      <c r="B348" s="131" t="s">
        <v>768</v>
      </c>
      <c r="C348" s="154" t="s">
        <v>581</v>
      </c>
      <c r="D348" s="154"/>
      <c r="E348" s="154"/>
      <c r="F348" s="154"/>
      <c r="G348" s="154"/>
      <c r="H348" s="154"/>
      <c r="I348" s="131"/>
      <c r="J348" s="132">
        <v>31711.68</v>
      </c>
      <c r="K348" s="133">
        <f>SUM(K349)</f>
        <v>39515.839999999997</v>
      </c>
    </row>
    <row r="349" spans="2:11" ht="22.8" customHeight="1">
      <c r="B349" s="134" t="s">
        <v>769</v>
      </c>
      <c r="C349" s="135" t="s">
        <v>770</v>
      </c>
      <c r="D349" s="136" t="s">
        <v>771</v>
      </c>
      <c r="E349" s="135" t="s">
        <v>14</v>
      </c>
      <c r="F349" s="135" t="s">
        <v>15</v>
      </c>
      <c r="G349" s="137">
        <v>416</v>
      </c>
      <c r="H349" s="138">
        <v>75.989999999999995</v>
      </c>
      <c r="I349" s="138">
        <f t="shared" ref="I349" ca="1" si="23">(H349*J$5)+H349</f>
        <v>94.987499999999997</v>
      </c>
      <c r="J349" s="139">
        <v>31711.68</v>
      </c>
      <c r="K349" s="140">
        <v>39515.839999999997</v>
      </c>
    </row>
    <row r="350" spans="2:11">
      <c r="B350" s="131" t="s">
        <v>772</v>
      </c>
      <c r="C350" s="154" t="s">
        <v>773</v>
      </c>
      <c r="D350" s="154"/>
      <c r="E350" s="154"/>
      <c r="F350" s="154"/>
      <c r="G350" s="154"/>
      <c r="H350" s="154"/>
      <c r="I350" s="131"/>
      <c r="J350" s="132">
        <v>204540.008</v>
      </c>
      <c r="K350" s="133">
        <f ca="1">SUM(K351,K391,K400,K404,K409)</f>
        <v>256168.965</v>
      </c>
    </row>
    <row r="351" spans="2:11">
      <c r="B351" s="131" t="s">
        <v>774</v>
      </c>
      <c r="C351" s="154" t="s">
        <v>775</v>
      </c>
      <c r="D351" s="154"/>
      <c r="E351" s="154"/>
      <c r="F351" s="154"/>
      <c r="G351" s="154"/>
      <c r="H351" s="154"/>
      <c r="I351" s="131"/>
      <c r="J351" s="132">
        <v>37738.468000000001</v>
      </c>
      <c r="K351" s="133">
        <f ca="1">SUM(K352:K390)</f>
        <v>46630.985000000001</v>
      </c>
    </row>
    <row r="352" spans="2:11" ht="31.2" customHeight="1">
      <c r="B352" s="134" t="s">
        <v>776</v>
      </c>
      <c r="C352" s="135" t="s">
        <v>777</v>
      </c>
      <c r="D352" s="136" t="s">
        <v>778</v>
      </c>
      <c r="E352" s="135" t="s">
        <v>14</v>
      </c>
      <c r="F352" s="135" t="s">
        <v>30</v>
      </c>
      <c r="G352" s="137">
        <v>222.1</v>
      </c>
      <c r="H352" s="138">
        <v>22.5</v>
      </c>
      <c r="I352" s="138">
        <f t="shared" ref="I352:I410" ca="1" si="24">(H352*J$5)+H352</f>
        <v>28.125</v>
      </c>
      <c r="J352" s="139">
        <v>5094.9740000000002</v>
      </c>
      <c r="K352" s="140">
        <v>6247.67</v>
      </c>
    </row>
    <row r="353" spans="1:11" ht="27" customHeight="1">
      <c r="B353" s="134" t="s">
        <v>779</v>
      </c>
      <c r="C353" s="135" t="s">
        <v>780</v>
      </c>
      <c r="D353" s="136" t="s">
        <v>781</v>
      </c>
      <c r="E353" s="135" t="s">
        <v>14</v>
      </c>
      <c r="F353" s="135" t="s">
        <v>30</v>
      </c>
      <c r="G353" s="137">
        <v>265.5</v>
      </c>
      <c r="H353" s="138">
        <v>30.79</v>
      </c>
      <c r="I353" s="138">
        <f t="shared" ca="1" si="24"/>
        <v>38.487499999999997</v>
      </c>
      <c r="J353" s="139">
        <v>8315.4599999999991</v>
      </c>
      <c r="K353" s="140">
        <v>10219.1</v>
      </c>
    </row>
    <row r="354" spans="1:11" ht="20.399999999999999">
      <c r="B354" s="134" t="s">
        <v>782</v>
      </c>
      <c r="C354" s="135" t="s">
        <v>783</v>
      </c>
      <c r="D354" s="136" t="s">
        <v>784</v>
      </c>
      <c r="E354" s="135" t="s">
        <v>14</v>
      </c>
      <c r="F354" s="135" t="s">
        <v>30</v>
      </c>
      <c r="G354" s="137">
        <v>165.1</v>
      </c>
      <c r="H354" s="138">
        <v>28.19</v>
      </c>
      <c r="I354" s="138">
        <f t="shared" ca="1" si="24"/>
        <v>35.237500000000004</v>
      </c>
      <c r="J354" s="139">
        <v>4705.3500000000004</v>
      </c>
      <c r="K354" s="140">
        <v>5818.12</v>
      </c>
    </row>
    <row r="355" spans="1:11" ht="28.2" customHeight="1">
      <c r="B355" s="134" t="s">
        <v>785</v>
      </c>
      <c r="C355" s="135" t="s">
        <v>786</v>
      </c>
      <c r="D355" s="136" t="s">
        <v>787</v>
      </c>
      <c r="E355" s="135" t="s">
        <v>14</v>
      </c>
      <c r="F355" s="135" t="s">
        <v>30</v>
      </c>
      <c r="G355" s="137">
        <v>140.80000000000001</v>
      </c>
      <c r="H355" s="138">
        <v>27.13</v>
      </c>
      <c r="I355" s="138">
        <f t="shared" ca="1" si="24"/>
        <v>33.912500000000001</v>
      </c>
      <c r="J355" s="139">
        <v>3825.5360000000001</v>
      </c>
      <c r="K355" s="140">
        <v>4774.53</v>
      </c>
    </row>
    <row r="356" spans="1:11" ht="26.4" customHeight="1">
      <c r="B356" s="134" t="s">
        <v>788</v>
      </c>
      <c r="C356" s="135" t="s">
        <v>789</v>
      </c>
      <c r="D356" s="136" t="s">
        <v>790</v>
      </c>
      <c r="E356" s="135" t="s">
        <v>14</v>
      </c>
      <c r="F356" s="135" t="s">
        <v>30</v>
      </c>
      <c r="G356" s="137">
        <v>64.900000000000006</v>
      </c>
      <c r="H356" s="138">
        <v>44.16</v>
      </c>
      <c r="I356" s="138">
        <f t="shared" ca="1" si="24"/>
        <v>55.199999999999996</v>
      </c>
      <c r="J356" s="139">
        <v>2869.8780000000002</v>
      </c>
      <c r="K356" s="140">
        <v>3582.48</v>
      </c>
    </row>
    <row r="357" spans="1:11" ht="28.8" customHeight="1">
      <c r="B357" s="134" t="s">
        <v>791</v>
      </c>
      <c r="C357" s="135" t="s">
        <v>792</v>
      </c>
      <c r="D357" s="136" t="s">
        <v>793</v>
      </c>
      <c r="E357" s="135" t="s">
        <v>14</v>
      </c>
      <c r="F357" s="135" t="s">
        <v>22</v>
      </c>
      <c r="G357" s="137">
        <v>58</v>
      </c>
      <c r="H357" s="138">
        <v>5.73</v>
      </c>
      <c r="I357" s="138">
        <f t="shared" ca="1" si="24"/>
        <v>7.1625000000000005</v>
      </c>
      <c r="J357" s="139">
        <v>337.56</v>
      </c>
      <c r="K357" s="140">
        <v>415.28</v>
      </c>
    </row>
    <row r="358" spans="1:11" ht="32.4" customHeight="1">
      <c r="B358" s="134" t="s">
        <v>794</v>
      </c>
      <c r="C358" s="135" t="s">
        <v>795</v>
      </c>
      <c r="D358" s="136" t="s">
        <v>796</v>
      </c>
      <c r="E358" s="135" t="s">
        <v>14</v>
      </c>
      <c r="F358" s="135" t="s">
        <v>22</v>
      </c>
      <c r="G358" s="137">
        <v>20</v>
      </c>
      <c r="H358" s="138">
        <v>5.3</v>
      </c>
      <c r="I358" s="138">
        <f t="shared" ca="1" si="24"/>
        <v>6.625</v>
      </c>
      <c r="J358" s="139">
        <v>107.4</v>
      </c>
      <c r="K358" s="140">
        <v>132.6</v>
      </c>
    </row>
    <row r="359" spans="1:11" ht="30.6" customHeight="1">
      <c r="B359" s="134" t="s">
        <v>797</v>
      </c>
      <c r="C359" s="135" t="s">
        <v>798</v>
      </c>
      <c r="D359" s="136" t="s">
        <v>799</v>
      </c>
      <c r="E359" s="135" t="s">
        <v>14</v>
      </c>
      <c r="F359" s="135" t="s">
        <v>22</v>
      </c>
      <c r="G359" s="137">
        <v>48</v>
      </c>
      <c r="H359" s="138">
        <v>12.73</v>
      </c>
      <c r="I359" s="138">
        <f t="shared" ca="1" si="24"/>
        <v>15.912500000000001</v>
      </c>
      <c r="J359" s="139">
        <v>618.24</v>
      </c>
      <c r="K359" s="140">
        <v>763.68</v>
      </c>
    </row>
    <row r="360" spans="1:11" ht="27" customHeight="1">
      <c r="B360" s="134" t="s">
        <v>800</v>
      </c>
      <c r="C360" s="135" t="s">
        <v>801</v>
      </c>
      <c r="D360" s="136" t="s">
        <v>802</v>
      </c>
      <c r="E360" s="135" t="s">
        <v>14</v>
      </c>
      <c r="F360" s="135" t="s">
        <v>22</v>
      </c>
      <c r="G360" s="137">
        <v>22</v>
      </c>
      <c r="H360" s="138">
        <v>16.12</v>
      </c>
      <c r="I360" s="138">
        <f t="shared" ca="1" si="24"/>
        <v>20.150000000000002</v>
      </c>
      <c r="J360" s="139">
        <v>357.94</v>
      </c>
      <c r="K360" s="140">
        <f t="shared" ref="K360:K410" ca="1" si="25">I360*G360</f>
        <v>443.30000000000007</v>
      </c>
    </row>
    <row r="361" spans="1:11" ht="20.399999999999999">
      <c r="B361" s="134" t="s">
        <v>803</v>
      </c>
      <c r="C361" s="135" t="s">
        <v>804</v>
      </c>
      <c r="D361" s="136" t="s">
        <v>805</v>
      </c>
      <c r="E361" s="135" t="s">
        <v>14</v>
      </c>
      <c r="F361" s="135" t="s">
        <v>22</v>
      </c>
      <c r="G361" s="137">
        <v>18</v>
      </c>
      <c r="H361" s="138">
        <v>17.8</v>
      </c>
      <c r="I361" s="138">
        <f t="shared" ca="1" si="24"/>
        <v>22.25</v>
      </c>
      <c r="J361" s="139">
        <v>322.2</v>
      </c>
      <c r="K361" s="140">
        <f t="shared" ca="1" si="25"/>
        <v>400.5</v>
      </c>
    </row>
    <row r="362" spans="1:11" ht="24" customHeight="1">
      <c r="B362" s="134" t="s">
        <v>806</v>
      </c>
      <c r="C362" s="135" t="s">
        <v>807</v>
      </c>
      <c r="D362" s="136" t="s">
        <v>808</v>
      </c>
      <c r="E362" s="135" t="s">
        <v>14</v>
      </c>
      <c r="F362" s="135" t="s">
        <v>22</v>
      </c>
      <c r="G362" s="137">
        <v>2</v>
      </c>
      <c r="H362" s="138">
        <v>27.72</v>
      </c>
      <c r="I362" s="138">
        <f t="shared" ca="1" si="24"/>
        <v>34.65</v>
      </c>
      <c r="J362" s="139">
        <v>55.72</v>
      </c>
      <c r="K362" s="140">
        <f t="shared" ca="1" si="25"/>
        <v>69.3</v>
      </c>
    </row>
    <row r="363" spans="1:11" ht="28.2" customHeight="1">
      <c r="B363" s="134" t="s">
        <v>809</v>
      </c>
      <c r="C363" s="135" t="s">
        <v>810</v>
      </c>
      <c r="D363" s="136" t="s">
        <v>811</v>
      </c>
      <c r="E363" s="135" t="s">
        <v>14</v>
      </c>
      <c r="F363" s="135" t="s">
        <v>22</v>
      </c>
      <c r="G363" s="137">
        <v>2</v>
      </c>
      <c r="H363" s="138">
        <v>6.81</v>
      </c>
      <c r="I363" s="138">
        <f t="shared" ca="1" si="24"/>
        <v>8.5124999999999993</v>
      </c>
      <c r="J363" s="139">
        <v>13.86</v>
      </c>
      <c r="K363" s="140">
        <v>17.02</v>
      </c>
    </row>
    <row r="364" spans="1:11" ht="29.4" customHeight="1">
      <c r="B364" s="134" t="s">
        <v>812</v>
      </c>
      <c r="C364" s="135" t="s">
        <v>813</v>
      </c>
      <c r="D364" s="136" t="s">
        <v>814</v>
      </c>
      <c r="E364" s="135" t="s">
        <v>14</v>
      </c>
      <c r="F364" s="135" t="s">
        <v>22</v>
      </c>
      <c r="G364" s="137">
        <v>13</v>
      </c>
      <c r="H364" s="138">
        <v>13.68</v>
      </c>
      <c r="I364" s="138">
        <f t="shared" ca="1" si="24"/>
        <v>17.100000000000001</v>
      </c>
      <c r="J364" s="139">
        <v>179.14</v>
      </c>
      <c r="K364" s="140">
        <f t="shared" ca="1" si="25"/>
        <v>222.3</v>
      </c>
    </row>
    <row r="365" spans="1:11" ht="28.8" customHeight="1">
      <c r="B365" s="134" t="s">
        <v>815</v>
      </c>
      <c r="C365" s="135" t="s">
        <v>816</v>
      </c>
      <c r="D365" s="136" t="s">
        <v>817</v>
      </c>
      <c r="E365" s="135" t="s">
        <v>26</v>
      </c>
      <c r="F365" s="135" t="s">
        <v>22</v>
      </c>
      <c r="G365" s="137">
        <v>6</v>
      </c>
      <c r="H365" s="138">
        <v>13.8</v>
      </c>
      <c r="I365" s="138">
        <f t="shared" ca="1" si="24"/>
        <v>17.25</v>
      </c>
      <c r="J365" s="139">
        <v>82.8</v>
      </c>
      <c r="K365" s="140">
        <f t="shared" ca="1" si="25"/>
        <v>103.5</v>
      </c>
    </row>
    <row r="366" spans="1:11" ht="27" customHeight="1">
      <c r="A366" t="s">
        <v>2038</v>
      </c>
      <c r="B366" s="134" t="s">
        <v>818</v>
      </c>
      <c r="C366" s="135" t="s">
        <v>819</v>
      </c>
      <c r="D366" s="136" t="s">
        <v>820</v>
      </c>
      <c r="E366" s="135" t="s">
        <v>14</v>
      </c>
      <c r="F366" s="135" t="s">
        <v>22</v>
      </c>
      <c r="G366" s="137">
        <v>14</v>
      </c>
      <c r="H366" s="138">
        <v>11.58</v>
      </c>
      <c r="I366" s="138">
        <f t="shared" ca="1" si="24"/>
        <v>14.475</v>
      </c>
      <c r="J366" s="139">
        <v>164.08</v>
      </c>
      <c r="K366" s="140">
        <v>202.72</v>
      </c>
    </row>
    <row r="367" spans="1:11" ht="25.2" customHeight="1">
      <c r="A367" t="s">
        <v>2039</v>
      </c>
      <c r="B367" s="134" t="s">
        <v>821</v>
      </c>
      <c r="C367" s="135" t="s">
        <v>822</v>
      </c>
      <c r="D367" s="136" t="s">
        <v>823</v>
      </c>
      <c r="E367" s="135" t="s">
        <v>26</v>
      </c>
      <c r="F367" s="135" t="s">
        <v>22</v>
      </c>
      <c r="G367" s="137">
        <v>1</v>
      </c>
      <c r="H367" s="138">
        <v>11.74</v>
      </c>
      <c r="I367" s="138">
        <f t="shared" ca="1" si="24"/>
        <v>14.675000000000001</v>
      </c>
      <c r="J367" s="139">
        <v>11.74</v>
      </c>
      <c r="K367" s="140">
        <f t="shared" ca="1" si="25"/>
        <v>14.675000000000001</v>
      </c>
    </row>
    <row r="368" spans="1:11" ht="31.2" customHeight="1">
      <c r="A368" t="s">
        <v>2040</v>
      </c>
      <c r="B368" s="134" t="s">
        <v>824</v>
      </c>
      <c r="C368" s="135" t="s">
        <v>825</v>
      </c>
      <c r="D368" s="136" t="s">
        <v>826</v>
      </c>
      <c r="E368" s="135" t="s">
        <v>14</v>
      </c>
      <c r="F368" s="135" t="s">
        <v>22</v>
      </c>
      <c r="G368" s="137">
        <v>12</v>
      </c>
      <c r="H368" s="138">
        <v>15.22</v>
      </c>
      <c r="I368" s="138">
        <f t="shared" ca="1" si="24"/>
        <v>19.025000000000002</v>
      </c>
      <c r="J368" s="139">
        <v>183.72</v>
      </c>
      <c r="K368" s="140">
        <v>228.36</v>
      </c>
    </row>
    <row r="369" spans="1:11" ht="26.4" customHeight="1">
      <c r="A369" t="s">
        <v>2041</v>
      </c>
      <c r="B369" s="134" t="s">
        <v>827</v>
      </c>
      <c r="C369" s="135" t="s">
        <v>828</v>
      </c>
      <c r="D369" s="136" t="s">
        <v>829</v>
      </c>
      <c r="E369" s="135" t="s">
        <v>14</v>
      </c>
      <c r="F369" s="135" t="s">
        <v>22</v>
      </c>
      <c r="G369" s="137">
        <v>5</v>
      </c>
      <c r="H369" s="138">
        <v>17.98</v>
      </c>
      <c r="I369" s="138">
        <f t="shared" ca="1" si="24"/>
        <v>22.475000000000001</v>
      </c>
      <c r="J369" s="139">
        <v>90.3</v>
      </c>
      <c r="K369" s="140">
        <v>112.4</v>
      </c>
    </row>
    <row r="370" spans="1:11" ht="24" customHeight="1">
      <c r="A370" t="s">
        <v>2042</v>
      </c>
      <c r="B370" s="134" t="s">
        <v>830</v>
      </c>
      <c r="C370" s="135" t="s">
        <v>831</v>
      </c>
      <c r="D370" s="136" t="s">
        <v>832</v>
      </c>
      <c r="E370" s="135" t="s">
        <v>14</v>
      </c>
      <c r="F370" s="135" t="s">
        <v>22</v>
      </c>
      <c r="G370" s="137">
        <v>12</v>
      </c>
      <c r="H370" s="138">
        <v>9.42</v>
      </c>
      <c r="I370" s="138">
        <f t="shared" ca="1" si="24"/>
        <v>11.775</v>
      </c>
      <c r="J370" s="139">
        <v>114.48</v>
      </c>
      <c r="K370" s="140">
        <v>141.36000000000001</v>
      </c>
    </row>
    <row r="371" spans="1:11" ht="24" customHeight="1">
      <c r="A371" t="s">
        <v>2043</v>
      </c>
      <c r="B371" s="134" t="s">
        <v>833</v>
      </c>
      <c r="C371" s="135" t="s">
        <v>834</v>
      </c>
      <c r="D371" s="136" t="s">
        <v>835</v>
      </c>
      <c r="E371" s="135" t="s">
        <v>14</v>
      </c>
      <c r="F371" s="135" t="s">
        <v>22</v>
      </c>
      <c r="G371" s="137">
        <v>6</v>
      </c>
      <c r="H371" s="138">
        <v>5.91</v>
      </c>
      <c r="I371" s="138">
        <f t="shared" ca="1" si="24"/>
        <v>7.3875000000000002</v>
      </c>
      <c r="J371" s="139">
        <v>35.880000000000003</v>
      </c>
      <c r="K371" s="140">
        <v>44.34</v>
      </c>
    </row>
    <row r="372" spans="1:11" ht="28.8" customHeight="1">
      <c r="A372" t="s">
        <v>2044</v>
      </c>
      <c r="B372" s="134" t="s">
        <v>836</v>
      </c>
      <c r="C372" s="135" t="s">
        <v>837</v>
      </c>
      <c r="D372" s="136" t="s">
        <v>838</v>
      </c>
      <c r="E372" s="135" t="s">
        <v>14</v>
      </c>
      <c r="F372" s="135" t="s">
        <v>22</v>
      </c>
      <c r="G372" s="137">
        <v>5</v>
      </c>
      <c r="H372" s="138">
        <v>20.64</v>
      </c>
      <c r="I372" s="138">
        <f t="shared" ca="1" si="24"/>
        <v>25.8</v>
      </c>
      <c r="J372" s="139">
        <v>103.75</v>
      </c>
      <c r="K372" s="140">
        <f t="shared" ca="1" si="25"/>
        <v>129</v>
      </c>
    </row>
    <row r="373" spans="1:11" ht="27.6" customHeight="1">
      <c r="A373" t="s">
        <v>2045</v>
      </c>
      <c r="B373" s="134" t="s">
        <v>839</v>
      </c>
      <c r="C373" s="135" t="s">
        <v>840</v>
      </c>
      <c r="D373" s="136" t="s">
        <v>841</v>
      </c>
      <c r="E373" s="135" t="s">
        <v>14</v>
      </c>
      <c r="F373" s="135" t="s">
        <v>22</v>
      </c>
      <c r="G373" s="137">
        <v>134</v>
      </c>
      <c r="H373" s="138">
        <v>8.9499999999999993</v>
      </c>
      <c r="I373" s="138">
        <f t="shared" ca="1" si="24"/>
        <v>11.1875</v>
      </c>
      <c r="J373" s="139">
        <v>1222.08</v>
      </c>
      <c r="K373" s="140">
        <v>1499.46</v>
      </c>
    </row>
    <row r="374" spans="1:11" ht="24.6" customHeight="1">
      <c r="A374" t="s">
        <v>2046</v>
      </c>
      <c r="B374" s="134" t="s">
        <v>842</v>
      </c>
      <c r="C374" s="135" t="s">
        <v>843</v>
      </c>
      <c r="D374" s="136" t="s">
        <v>844</v>
      </c>
      <c r="E374" s="135" t="s">
        <v>14</v>
      </c>
      <c r="F374" s="135" t="s">
        <v>22</v>
      </c>
      <c r="G374" s="137">
        <v>129</v>
      </c>
      <c r="H374" s="138">
        <v>12.29</v>
      </c>
      <c r="I374" s="138">
        <f t="shared" ca="1" si="24"/>
        <v>15.362499999999999</v>
      </c>
      <c r="J374" s="139">
        <v>1612.5</v>
      </c>
      <c r="K374" s="140">
        <v>1981.44</v>
      </c>
    </row>
    <row r="375" spans="1:11" ht="32.4" customHeight="1">
      <c r="A375" t="s">
        <v>2047</v>
      </c>
      <c r="B375" s="134" t="s">
        <v>845</v>
      </c>
      <c r="C375" s="135" t="s">
        <v>846</v>
      </c>
      <c r="D375" s="136" t="s">
        <v>847</v>
      </c>
      <c r="E375" s="135" t="s">
        <v>14</v>
      </c>
      <c r="F375" s="135" t="s">
        <v>22</v>
      </c>
      <c r="G375" s="137">
        <v>80</v>
      </c>
      <c r="H375" s="138">
        <v>13.2</v>
      </c>
      <c r="I375" s="138">
        <f t="shared" ca="1" si="24"/>
        <v>16.5</v>
      </c>
      <c r="J375" s="139">
        <v>1068</v>
      </c>
      <c r="K375" s="140">
        <f t="shared" ca="1" si="25"/>
        <v>1320</v>
      </c>
    </row>
    <row r="376" spans="1:11" ht="24" customHeight="1">
      <c r="A376" t="s">
        <v>2048</v>
      </c>
      <c r="B376" s="134" t="s">
        <v>848</v>
      </c>
      <c r="C376" s="135" t="s">
        <v>849</v>
      </c>
      <c r="D376" s="136" t="s">
        <v>850</v>
      </c>
      <c r="E376" s="135" t="s">
        <v>14</v>
      </c>
      <c r="F376" s="135" t="s">
        <v>22</v>
      </c>
      <c r="G376" s="137">
        <v>29</v>
      </c>
      <c r="H376" s="138">
        <v>37.81</v>
      </c>
      <c r="I376" s="138">
        <f t="shared" ca="1" si="24"/>
        <v>47.262500000000003</v>
      </c>
      <c r="J376" s="139">
        <v>1101.42</v>
      </c>
      <c r="K376" s="140">
        <v>1370.54</v>
      </c>
    </row>
    <row r="377" spans="1:11" ht="28.2" customHeight="1">
      <c r="A377" t="s">
        <v>2049</v>
      </c>
      <c r="B377" s="134" t="s">
        <v>851</v>
      </c>
      <c r="C377" s="135" t="s">
        <v>852</v>
      </c>
      <c r="D377" s="136" t="s">
        <v>853</v>
      </c>
      <c r="E377" s="135" t="s">
        <v>14</v>
      </c>
      <c r="F377" s="135" t="s">
        <v>22</v>
      </c>
      <c r="G377" s="137">
        <v>9</v>
      </c>
      <c r="H377" s="138">
        <v>94.43</v>
      </c>
      <c r="I377" s="138">
        <f t="shared" ca="1" si="24"/>
        <v>118.03750000000001</v>
      </c>
      <c r="J377" s="139">
        <v>851.76</v>
      </c>
      <c r="K377" s="140">
        <v>1062.3599999999999</v>
      </c>
    </row>
    <row r="378" spans="1:11" ht="31.2" customHeight="1">
      <c r="A378" t="s">
        <v>2050</v>
      </c>
      <c r="B378" s="134" t="s">
        <v>854</v>
      </c>
      <c r="C378" s="135" t="s">
        <v>855</v>
      </c>
      <c r="D378" s="136" t="s">
        <v>856</v>
      </c>
      <c r="E378" s="135" t="s">
        <v>14</v>
      </c>
      <c r="F378" s="135" t="s">
        <v>22</v>
      </c>
      <c r="G378" s="137">
        <v>25</v>
      </c>
      <c r="H378" s="138">
        <v>15.25</v>
      </c>
      <c r="I378" s="138">
        <f t="shared" ca="1" si="24"/>
        <v>19.0625</v>
      </c>
      <c r="J378" s="139">
        <v>385.5</v>
      </c>
      <c r="K378" s="140">
        <v>476.5</v>
      </c>
    </row>
    <row r="379" spans="1:11" ht="44.4" customHeight="1">
      <c r="A379" t="s">
        <v>2051</v>
      </c>
      <c r="B379" s="134" t="s">
        <v>857</v>
      </c>
      <c r="C379" s="135" t="s">
        <v>858</v>
      </c>
      <c r="D379" s="136" t="s">
        <v>859</v>
      </c>
      <c r="E379" s="135" t="s">
        <v>14</v>
      </c>
      <c r="F379" s="135" t="s">
        <v>22</v>
      </c>
      <c r="G379" s="137">
        <v>63</v>
      </c>
      <c r="H379" s="138">
        <v>12.2</v>
      </c>
      <c r="I379" s="138">
        <f t="shared" ca="1" si="24"/>
        <v>15.25</v>
      </c>
      <c r="J379" s="139">
        <v>778.05</v>
      </c>
      <c r="K379" s="140">
        <v>960.75</v>
      </c>
    </row>
    <row r="380" spans="1:11" ht="30" customHeight="1">
      <c r="A380" t="s">
        <v>2052</v>
      </c>
      <c r="B380" s="134" t="s">
        <v>860</v>
      </c>
      <c r="C380" s="135" t="s">
        <v>861</v>
      </c>
      <c r="D380" s="136" t="s">
        <v>862</v>
      </c>
      <c r="E380" s="135" t="s">
        <v>14</v>
      </c>
      <c r="F380" s="135" t="s">
        <v>22</v>
      </c>
      <c r="G380" s="137">
        <v>37</v>
      </c>
      <c r="H380" s="138">
        <v>11.29</v>
      </c>
      <c r="I380" s="138">
        <f t="shared" ca="1" si="24"/>
        <v>14.112499999999999</v>
      </c>
      <c r="J380" s="139">
        <v>425.5</v>
      </c>
      <c r="K380" s="140">
        <v>522.07000000000005</v>
      </c>
    </row>
    <row r="381" spans="1:11" ht="28.8" customHeight="1">
      <c r="A381" t="s">
        <v>2053</v>
      </c>
      <c r="B381" s="134" t="s">
        <v>863</v>
      </c>
      <c r="C381" s="135" t="s">
        <v>864</v>
      </c>
      <c r="D381" s="136" t="s">
        <v>865</v>
      </c>
      <c r="E381" s="135" t="s">
        <v>14</v>
      </c>
      <c r="F381" s="135" t="s">
        <v>22</v>
      </c>
      <c r="G381" s="137">
        <v>8</v>
      </c>
      <c r="H381" s="138">
        <v>15.9</v>
      </c>
      <c r="I381" s="138">
        <f t="shared" ca="1" si="24"/>
        <v>19.875</v>
      </c>
      <c r="J381" s="139">
        <v>129.28</v>
      </c>
      <c r="K381" s="140">
        <v>159.04</v>
      </c>
    </row>
    <row r="382" spans="1:11" ht="25.2" customHeight="1">
      <c r="A382" t="s">
        <v>2054</v>
      </c>
      <c r="B382" s="134" t="s">
        <v>866</v>
      </c>
      <c r="C382" s="135" t="s">
        <v>867</v>
      </c>
      <c r="D382" s="136" t="s">
        <v>868</v>
      </c>
      <c r="E382" s="135" t="s">
        <v>14</v>
      </c>
      <c r="F382" s="135" t="s">
        <v>22</v>
      </c>
      <c r="G382" s="137">
        <v>27</v>
      </c>
      <c r="H382" s="138">
        <v>20.85</v>
      </c>
      <c r="I382" s="138">
        <f t="shared" ca="1" si="24"/>
        <v>26.0625</v>
      </c>
      <c r="J382" s="139">
        <v>568.08000000000004</v>
      </c>
      <c r="K382" s="140">
        <v>703.62</v>
      </c>
    </row>
    <row r="383" spans="1:11" ht="30" customHeight="1">
      <c r="A383" t="s">
        <v>2055</v>
      </c>
      <c r="B383" s="134" t="s">
        <v>869</v>
      </c>
      <c r="C383" s="135" t="s">
        <v>870</v>
      </c>
      <c r="D383" s="136" t="s">
        <v>871</v>
      </c>
      <c r="E383" s="135" t="s">
        <v>14</v>
      </c>
      <c r="F383" s="135" t="s">
        <v>22</v>
      </c>
      <c r="G383" s="137">
        <v>28</v>
      </c>
      <c r="H383" s="138">
        <v>43.69</v>
      </c>
      <c r="I383" s="138">
        <f t="shared" ca="1" si="24"/>
        <v>54.612499999999997</v>
      </c>
      <c r="J383" s="139">
        <v>1229.76</v>
      </c>
      <c r="K383" s="140">
        <v>1529.08</v>
      </c>
    </row>
    <row r="384" spans="1:11" ht="29.4" customHeight="1">
      <c r="A384" t="s">
        <v>2056</v>
      </c>
      <c r="B384" s="134" t="s">
        <v>872</v>
      </c>
      <c r="C384" s="135" t="s">
        <v>873</v>
      </c>
      <c r="D384" s="136" t="s">
        <v>874</v>
      </c>
      <c r="E384" s="135" t="s">
        <v>14</v>
      </c>
      <c r="F384" s="135" t="s">
        <v>22</v>
      </c>
      <c r="G384" s="137">
        <v>3</v>
      </c>
      <c r="H384" s="138">
        <v>73.31</v>
      </c>
      <c r="I384" s="138">
        <f t="shared" ca="1" si="24"/>
        <v>91.637500000000003</v>
      </c>
      <c r="J384" s="139">
        <v>220.77</v>
      </c>
      <c r="K384" s="140">
        <v>274.92</v>
      </c>
    </row>
    <row r="385" spans="1:11" ht="26.4" customHeight="1">
      <c r="A385" t="s">
        <v>2057</v>
      </c>
      <c r="B385" s="134" t="s">
        <v>875</v>
      </c>
      <c r="C385" s="135" t="s">
        <v>876</v>
      </c>
      <c r="D385" s="136" t="s">
        <v>877</v>
      </c>
      <c r="E385" s="135" t="s">
        <v>14</v>
      </c>
      <c r="F385" s="135" t="s">
        <v>22</v>
      </c>
      <c r="G385" s="137">
        <v>5</v>
      </c>
      <c r="H385" s="138">
        <v>12.99</v>
      </c>
      <c r="I385" s="138">
        <f t="shared" ca="1" si="24"/>
        <v>16.237500000000001</v>
      </c>
      <c r="J385" s="139">
        <v>65.55</v>
      </c>
      <c r="K385" s="140">
        <v>81.2</v>
      </c>
    </row>
    <row r="386" spans="1:11" ht="25.8" customHeight="1">
      <c r="A386" t="s">
        <v>2058</v>
      </c>
      <c r="B386" s="134" t="s">
        <v>878</v>
      </c>
      <c r="C386" s="135" t="s">
        <v>879</v>
      </c>
      <c r="D386" s="136" t="s">
        <v>880</v>
      </c>
      <c r="E386" s="135" t="s">
        <v>14</v>
      </c>
      <c r="F386" s="135" t="s">
        <v>22</v>
      </c>
      <c r="G386" s="137">
        <v>5</v>
      </c>
      <c r="H386" s="138">
        <v>18.46</v>
      </c>
      <c r="I386" s="138">
        <f t="shared" ca="1" si="24"/>
        <v>23.075000000000003</v>
      </c>
      <c r="J386" s="139">
        <v>93.05</v>
      </c>
      <c r="K386" s="140">
        <v>115.4</v>
      </c>
    </row>
    <row r="387" spans="1:11" ht="29.4" customHeight="1">
      <c r="A387" t="s">
        <v>2059</v>
      </c>
      <c r="B387" s="134" t="s">
        <v>881</v>
      </c>
      <c r="C387" s="135" t="s">
        <v>882</v>
      </c>
      <c r="D387" s="136" t="s">
        <v>883</v>
      </c>
      <c r="E387" s="135" t="s">
        <v>26</v>
      </c>
      <c r="F387" s="135" t="s">
        <v>22</v>
      </c>
      <c r="G387" s="137">
        <v>1</v>
      </c>
      <c r="H387" s="138">
        <v>27.76</v>
      </c>
      <c r="I387" s="138">
        <f t="shared" ca="1" si="24"/>
        <v>34.700000000000003</v>
      </c>
      <c r="J387" s="139">
        <v>27.76</v>
      </c>
      <c r="K387" s="140">
        <v>34.700000000000003</v>
      </c>
    </row>
    <row r="388" spans="1:11" ht="28.8" customHeight="1">
      <c r="A388" t="s">
        <v>2060</v>
      </c>
      <c r="B388" s="134" t="s">
        <v>884</v>
      </c>
      <c r="C388" s="135" t="s">
        <v>885</v>
      </c>
      <c r="D388" s="136" t="s">
        <v>886</v>
      </c>
      <c r="E388" s="135" t="s">
        <v>26</v>
      </c>
      <c r="F388" s="135" t="s">
        <v>22</v>
      </c>
      <c r="G388" s="137">
        <v>2</v>
      </c>
      <c r="H388" s="138">
        <v>27.76</v>
      </c>
      <c r="I388" s="138">
        <f t="shared" ca="1" si="24"/>
        <v>34.700000000000003</v>
      </c>
      <c r="J388" s="139">
        <v>55.52</v>
      </c>
      <c r="K388" s="140">
        <f t="shared" ca="1" si="25"/>
        <v>69.400000000000006</v>
      </c>
    </row>
    <row r="389" spans="1:11" ht="24" customHeight="1">
      <c r="A389" t="s">
        <v>2061</v>
      </c>
      <c r="B389" s="134" t="s">
        <v>887</v>
      </c>
      <c r="C389" s="135" t="s">
        <v>888</v>
      </c>
      <c r="D389" s="136" t="s">
        <v>889</v>
      </c>
      <c r="E389" s="135" t="s">
        <v>14</v>
      </c>
      <c r="F389" s="135" t="s">
        <v>22</v>
      </c>
      <c r="G389" s="137">
        <v>13</v>
      </c>
      <c r="H389" s="138">
        <v>19.11</v>
      </c>
      <c r="I389" s="138">
        <f t="shared" ca="1" si="24"/>
        <v>23.887499999999999</v>
      </c>
      <c r="J389" s="139">
        <v>251.03</v>
      </c>
      <c r="K389" s="140">
        <v>310.57</v>
      </c>
    </row>
    <row r="390" spans="1:11" ht="29.4" customHeight="1">
      <c r="A390" t="s">
        <v>2062</v>
      </c>
      <c r="B390" s="134" t="s">
        <v>890</v>
      </c>
      <c r="C390" s="135" t="s">
        <v>891</v>
      </c>
      <c r="D390" s="136" t="s">
        <v>892</v>
      </c>
      <c r="E390" s="135" t="s">
        <v>14</v>
      </c>
      <c r="F390" s="135" t="s">
        <v>22</v>
      </c>
      <c r="G390" s="137">
        <v>3</v>
      </c>
      <c r="H390" s="138">
        <v>20.72</v>
      </c>
      <c r="I390" s="138">
        <f t="shared" ca="1" si="24"/>
        <v>25.9</v>
      </c>
      <c r="J390" s="139">
        <v>62.85</v>
      </c>
      <c r="K390" s="140">
        <v>77.7</v>
      </c>
    </row>
    <row r="391" spans="1:11">
      <c r="A391" t="s">
        <v>2063</v>
      </c>
      <c r="B391" s="131" t="s">
        <v>893</v>
      </c>
      <c r="C391" s="154" t="s">
        <v>894</v>
      </c>
      <c r="D391" s="154"/>
      <c r="E391" s="154"/>
      <c r="F391" s="154"/>
      <c r="G391" s="154"/>
      <c r="H391" s="154"/>
      <c r="I391" s="131"/>
      <c r="J391" s="132">
        <v>13200.27</v>
      </c>
      <c r="K391" s="133">
        <f>SUM(K392:K399)</f>
        <v>16468.14</v>
      </c>
    </row>
    <row r="392" spans="1:11">
      <c r="A392" t="s">
        <v>2064</v>
      </c>
      <c r="B392" s="134" t="s">
        <v>895</v>
      </c>
      <c r="C392" s="135" t="s">
        <v>896</v>
      </c>
      <c r="D392" s="136" t="s">
        <v>897</v>
      </c>
      <c r="E392" s="135" t="s">
        <v>14</v>
      </c>
      <c r="F392" s="135" t="s">
        <v>22</v>
      </c>
      <c r="G392" s="137">
        <v>10</v>
      </c>
      <c r="H392" s="138">
        <v>82.5</v>
      </c>
      <c r="I392" s="138">
        <f t="shared" ca="1" si="24"/>
        <v>103.125</v>
      </c>
      <c r="J392" s="139">
        <v>826.6</v>
      </c>
      <c r="K392" s="140">
        <v>1031.3</v>
      </c>
    </row>
    <row r="393" spans="1:11" ht="16.8" customHeight="1">
      <c r="A393" t="s">
        <v>2065</v>
      </c>
      <c r="B393" s="134" t="s">
        <v>898</v>
      </c>
      <c r="C393" s="135" t="s">
        <v>899</v>
      </c>
      <c r="D393" s="136" t="s">
        <v>900</v>
      </c>
      <c r="E393" s="135" t="s">
        <v>14</v>
      </c>
      <c r="F393" s="135" t="s">
        <v>22</v>
      </c>
      <c r="G393" s="137">
        <v>1</v>
      </c>
      <c r="H393" s="138">
        <v>396.1</v>
      </c>
      <c r="I393" s="138">
        <f t="shared" ca="1" si="24"/>
        <v>495.125</v>
      </c>
      <c r="J393" s="139">
        <v>396.62</v>
      </c>
      <c r="K393" s="140">
        <v>495.13</v>
      </c>
    </row>
    <row r="394" spans="1:11" ht="19.2" customHeight="1">
      <c r="A394" t="s">
        <v>2066</v>
      </c>
      <c r="B394" s="134" t="s">
        <v>901</v>
      </c>
      <c r="C394" s="135" t="s">
        <v>902</v>
      </c>
      <c r="D394" s="136" t="s">
        <v>903</v>
      </c>
      <c r="E394" s="135" t="s">
        <v>14</v>
      </c>
      <c r="F394" s="135" t="s">
        <v>22</v>
      </c>
      <c r="G394" s="137">
        <v>9</v>
      </c>
      <c r="H394" s="138">
        <v>196.86</v>
      </c>
      <c r="I394" s="138">
        <f t="shared" ca="1" si="24"/>
        <v>246.07500000000002</v>
      </c>
      <c r="J394" s="139">
        <v>1775.34</v>
      </c>
      <c r="K394" s="140">
        <v>2214.7199999999998</v>
      </c>
    </row>
    <row r="395" spans="1:11" ht="24" customHeight="1">
      <c r="A395" t="s">
        <v>2067</v>
      </c>
      <c r="B395" s="134" t="s">
        <v>904</v>
      </c>
      <c r="C395" s="135" t="s">
        <v>905</v>
      </c>
      <c r="D395" s="136" t="s">
        <v>906</v>
      </c>
      <c r="E395" s="135" t="s">
        <v>14</v>
      </c>
      <c r="F395" s="135" t="s">
        <v>22</v>
      </c>
      <c r="G395" s="137">
        <v>21</v>
      </c>
      <c r="H395" s="138">
        <v>225.14</v>
      </c>
      <c r="I395" s="138">
        <f t="shared" ca="1" si="24"/>
        <v>281.42499999999995</v>
      </c>
      <c r="J395" s="139">
        <v>4737.18</v>
      </c>
      <c r="K395" s="140">
        <v>5910.33</v>
      </c>
    </row>
    <row r="396" spans="1:11" ht="25.2" customHeight="1">
      <c r="A396" t="s">
        <v>2068</v>
      </c>
      <c r="B396" s="134" t="s">
        <v>907</v>
      </c>
      <c r="C396" s="135" t="s">
        <v>908</v>
      </c>
      <c r="D396" s="136" t="s">
        <v>909</v>
      </c>
      <c r="E396" s="135" t="s">
        <v>14</v>
      </c>
      <c r="F396" s="135" t="s">
        <v>22</v>
      </c>
      <c r="G396" s="137">
        <v>28</v>
      </c>
      <c r="H396" s="138">
        <v>126.99</v>
      </c>
      <c r="I396" s="138">
        <f t="shared" ca="1" si="24"/>
        <v>158.73749999999998</v>
      </c>
      <c r="J396" s="139">
        <v>3563</v>
      </c>
      <c r="K396" s="140">
        <v>4444.72</v>
      </c>
    </row>
    <row r="397" spans="1:11" ht="28.2" customHeight="1">
      <c r="A397" t="s">
        <v>2069</v>
      </c>
      <c r="B397" s="134" t="s">
        <v>910</v>
      </c>
      <c r="C397" s="135" t="s">
        <v>911</v>
      </c>
      <c r="D397" s="136" t="s">
        <v>912</v>
      </c>
      <c r="E397" s="135" t="s">
        <v>14</v>
      </c>
      <c r="F397" s="135" t="s">
        <v>22</v>
      </c>
      <c r="G397" s="137">
        <v>12</v>
      </c>
      <c r="H397" s="138">
        <v>120.38</v>
      </c>
      <c r="I397" s="138">
        <f t="shared" ca="1" si="24"/>
        <v>150.47499999999999</v>
      </c>
      <c r="J397" s="139">
        <v>1447.68</v>
      </c>
      <c r="K397" s="140">
        <v>1805.76</v>
      </c>
    </row>
    <row r="398" spans="1:11" ht="20.399999999999999">
      <c r="A398" t="s">
        <v>2070</v>
      </c>
      <c r="B398" s="134" t="s">
        <v>913</v>
      </c>
      <c r="C398" s="135" t="s">
        <v>914</v>
      </c>
      <c r="D398" s="136" t="s">
        <v>915</v>
      </c>
      <c r="E398" s="135" t="s">
        <v>14</v>
      </c>
      <c r="F398" s="135" t="s">
        <v>22</v>
      </c>
      <c r="G398" s="137">
        <v>2</v>
      </c>
      <c r="H398" s="138">
        <v>119.69</v>
      </c>
      <c r="I398" s="138">
        <f t="shared" ca="1" si="24"/>
        <v>149.61250000000001</v>
      </c>
      <c r="J398" s="139">
        <v>239.98</v>
      </c>
      <c r="K398" s="140">
        <v>299.22000000000003</v>
      </c>
    </row>
    <row r="399" spans="1:11" ht="27.6" customHeight="1">
      <c r="A399" t="s">
        <v>2071</v>
      </c>
      <c r="B399" s="134" t="s">
        <v>916</v>
      </c>
      <c r="C399" s="135" t="s">
        <v>917</v>
      </c>
      <c r="D399" s="136" t="s">
        <v>918</v>
      </c>
      <c r="E399" s="135" t="s">
        <v>14</v>
      </c>
      <c r="F399" s="135" t="s">
        <v>22</v>
      </c>
      <c r="G399" s="137">
        <v>1</v>
      </c>
      <c r="H399" s="138">
        <v>213.57</v>
      </c>
      <c r="I399" s="138">
        <f t="shared" ca="1" si="24"/>
        <v>266.96249999999998</v>
      </c>
      <c r="J399" s="139">
        <v>213.87</v>
      </c>
      <c r="K399" s="140">
        <v>266.95999999999998</v>
      </c>
    </row>
    <row r="400" spans="1:11">
      <c r="A400" t="s">
        <v>2072</v>
      </c>
      <c r="B400" s="131" t="s">
        <v>919</v>
      </c>
      <c r="C400" s="154" t="s">
        <v>763</v>
      </c>
      <c r="D400" s="154"/>
      <c r="E400" s="154"/>
      <c r="F400" s="154"/>
      <c r="G400" s="154"/>
      <c r="H400" s="154"/>
      <c r="I400" s="131"/>
      <c r="J400" s="132">
        <v>54497.94</v>
      </c>
      <c r="K400" s="133">
        <f>SUM(K401:K403)</f>
        <v>69193.790000000008</v>
      </c>
    </row>
    <row r="401" spans="1:11" ht="19.8" customHeight="1">
      <c r="A401" t="s">
        <v>2073</v>
      </c>
      <c r="B401" s="134" t="s">
        <v>920</v>
      </c>
      <c r="C401" s="135" t="s">
        <v>921</v>
      </c>
      <c r="D401" s="136" t="s">
        <v>922</v>
      </c>
      <c r="E401" s="135" t="s">
        <v>26</v>
      </c>
      <c r="F401" s="135" t="s">
        <v>22</v>
      </c>
      <c r="G401" s="137">
        <v>1</v>
      </c>
      <c r="H401" s="138">
        <v>50095.95</v>
      </c>
      <c r="I401" s="138">
        <f t="shared" ca="1" si="24"/>
        <v>62619.9375</v>
      </c>
      <c r="J401" s="139">
        <v>50095.95</v>
      </c>
      <c r="K401" s="140">
        <v>62619.94</v>
      </c>
    </row>
    <row r="402" spans="1:11" ht="16.2" customHeight="1">
      <c r="A402" t="s">
        <v>2074</v>
      </c>
      <c r="B402" s="134" t="s">
        <v>923</v>
      </c>
      <c r="C402" s="135" t="s">
        <v>1862</v>
      </c>
      <c r="D402" s="136" t="s">
        <v>924</v>
      </c>
      <c r="E402" s="135" t="s">
        <v>14</v>
      </c>
      <c r="F402" s="135" t="s">
        <v>22</v>
      </c>
      <c r="G402" s="137">
        <v>2</v>
      </c>
      <c r="H402" s="138">
        <v>2034.14</v>
      </c>
      <c r="I402" s="138">
        <f t="shared" ca="1" si="24"/>
        <v>2542.6750000000002</v>
      </c>
      <c r="J402" s="139">
        <v>3210.9</v>
      </c>
      <c r="K402" s="140">
        <v>5085.3599999999997</v>
      </c>
    </row>
    <row r="403" spans="1:11" ht="17.399999999999999" customHeight="1">
      <c r="A403" t="s">
        <v>2075</v>
      </c>
      <c r="B403" s="134" t="s">
        <v>925</v>
      </c>
      <c r="C403" s="135" t="s">
        <v>926</v>
      </c>
      <c r="D403" s="136" t="s">
        <v>927</v>
      </c>
      <c r="E403" s="135" t="s">
        <v>14</v>
      </c>
      <c r="F403" s="135" t="s">
        <v>22</v>
      </c>
      <c r="G403" s="137">
        <v>1</v>
      </c>
      <c r="H403" s="138">
        <v>1190.79</v>
      </c>
      <c r="I403" s="138">
        <f t="shared" ca="1" si="24"/>
        <v>1488.4875</v>
      </c>
      <c r="J403" s="139">
        <v>1191.0899999999999</v>
      </c>
      <c r="K403" s="140">
        <v>1488.49</v>
      </c>
    </row>
    <row r="404" spans="1:11">
      <c r="A404" t="s">
        <v>2076</v>
      </c>
      <c r="B404" s="131" t="s">
        <v>928</v>
      </c>
      <c r="C404" s="154" t="s">
        <v>929</v>
      </c>
      <c r="D404" s="154"/>
      <c r="E404" s="154"/>
      <c r="F404" s="154"/>
      <c r="G404" s="154"/>
      <c r="H404" s="154"/>
      <c r="I404" s="131"/>
      <c r="J404" s="132">
        <v>12183.33</v>
      </c>
      <c r="K404" s="133">
        <f ca="1">SUM(K405:K408)</f>
        <v>15226.05</v>
      </c>
    </row>
    <row r="405" spans="1:11">
      <c r="A405" t="s">
        <v>2077</v>
      </c>
      <c r="B405" s="134" t="s">
        <v>930</v>
      </c>
      <c r="C405" s="135" t="s">
        <v>931</v>
      </c>
      <c r="D405" s="136" t="s">
        <v>932</v>
      </c>
      <c r="E405" s="135" t="s">
        <v>26</v>
      </c>
      <c r="F405" s="135" t="s">
        <v>22</v>
      </c>
      <c r="G405" s="137">
        <v>6</v>
      </c>
      <c r="H405" s="138">
        <v>1863.16</v>
      </c>
      <c r="I405" s="138">
        <f t="shared" ca="1" si="24"/>
        <v>2328.9500000000003</v>
      </c>
      <c r="J405" s="139">
        <v>11178.96</v>
      </c>
      <c r="K405" s="140">
        <f t="shared" ca="1" si="25"/>
        <v>13973.7</v>
      </c>
    </row>
    <row r="406" spans="1:11">
      <c r="A406" t="s">
        <v>2078</v>
      </c>
      <c r="B406" s="134" t="s">
        <v>933</v>
      </c>
      <c r="C406" s="135" t="s">
        <v>934</v>
      </c>
      <c r="D406" s="136" t="s">
        <v>935</v>
      </c>
      <c r="E406" s="135" t="s">
        <v>26</v>
      </c>
      <c r="F406" s="135" t="s">
        <v>22</v>
      </c>
      <c r="G406" s="137">
        <v>2</v>
      </c>
      <c r="H406" s="138">
        <v>403.16</v>
      </c>
      <c r="I406" s="138">
        <f t="shared" ca="1" si="24"/>
        <v>503.95000000000005</v>
      </c>
      <c r="J406" s="139">
        <v>806.32</v>
      </c>
      <c r="K406" s="140">
        <f t="shared" ca="1" si="25"/>
        <v>1007.9000000000001</v>
      </c>
    </row>
    <row r="407" spans="1:11" ht="30" customHeight="1">
      <c r="A407" t="s">
        <v>2079</v>
      </c>
      <c r="B407" s="134" t="s">
        <v>936</v>
      </c>
      <c r="C407" s="135" t="s">
        <v>937</v>
      </c>
      <c r="D407" s="136" t="s">
        <v>938</v>
      </c>
      <c r="E407" s="135" t="s">
        <v>14</v>
      </c>
      <c r="F407" s="135" t="s">
        <v>22</v>
      </c>
      <c r="G407" s="137">
        <v>10</v>
      </c>
      <c r="H407" s="138">
        <v>14.1</v>
      </c>
      <c r="I407" s="138">
        <f t="shared" ca="1" si="24"/>
        <v>17.625</v>
      </c>
      <c r="J407" s="139">
        <v>142.9</v>
      </c>
      <c r="K407" s="140">
        <v>176.3</v>
      </c>
    </row>
    <row r="408" spans="1:11" ht="22.2" customHeight="1">
      <c r="A408" t="s">
        <v>2080</v>
      </c>
      <c r="B408" s="134" t="s">
        <v>939</v>
      </c>
      <c r="C408" s="135" t="s">
        <v>940</v>
      </c>
      <c r="D408" s="136" t="s">
        <v>941</v>
      </c>
      <c r="E408" s="135" t="s">
        <v>14</v>
      </c>
      <c r="F408" s="135" t="s">
        <v>22</v>
      </c>
      <c r="G408" s="137">
        <v>5</v>
      </c>
      <c r="H408" s="138">
        <v>10.9</v>
      </c>
      <c r="I408" s="138">
        <f t="shared" ca="1" si="24"/>
        <v>13.625</v>
      </c>
      <c r="J408" s="139">
        <v>55.15</v>
      </c>
      <c r="K408" s="140">
        <v>68.150000000000006</v>
      </c>
    </row>
    <row r="409" spans="1:11">
      <c r="A409" t="s">
        <v>2081</v>
      </c>
      <c r="B409" s="131" t="s">
        <v>942</v>
      </c>
      <c r="C409" s="154" t="s">
        <v>943</v>
      </c>
      <c r="D409" s="154"/>
      <c r="E409" s="154"/>
      <c r="F409" s="154"/>
      <c r="G409" s="154"/>
      <c r="H409" s="154"/>
      <c r="I409" s="131"/>
      <c r="J409" s="132">
        <v>86920</v>
      </c>
      <c r="K409" s="133">
        <f ca="1">SUM(K410)</f>
        <v>108650</v>
      </c>
    </row>
    <row r="410" spans="1:11">
      <c r="A410" t="s">
        <v>2082</v>
      </c>
      <c r="B410" s="134" t="s">
        <v>944</v>
      </c>
      <c r="C410" s="135" t="s">
        <v>945</v>
      </c>
      <c r="D410" s="136" t="s">
        <v>946</v>
      </c>
      <c r="E410" s="135" t="s">
        <v>26</v>
      </c>
      <c r="F410" s="135" t="s">
        <v>22</v>
      </c>
      <c r="G410" s="137">
        <v>1</v>
      </c>
      <c r="H410" s="138">
        <v>86920</v>
      </c>
      <c r="I410" s="138">
        <f t="shared" ca="1" si="24"/>
        <v>108650</v>
      </c>
      <c r="J410" s="139">
        <v>86920</v>
      </c>
      <c r="K410" s="140">
        <f t="shared" ca="1" si="25"/>
        <v>108650</v>
      </c>
    </row>
    <row r="411" spans="1:11">
      <c r="A411" t="s">
        <v>2083</v>
      </c>
      <c r="B411" s="131" t="s">
        <v>947</v>
      </c>
      <c r="C411" s="154" t="s">
        <v>948</v>
      </c>
      <c r="D411" s="154"/>
      <c r="E411" s="154"/>
      <c r="F411" s="154"/>
      <c r="G411" s="154"/>
      <c r="H411" s="154"/>
      <c r="I411" s="131"/>
      <c r="J411" s="132">
        <v>138614.75649999999</v>
      </c>
      <c r="K411" s="133">
        <f ca="1">SUM(K412,K430)</f>
        <v>172766.84499999997</v>
      </c>
    </row>
    <row r="412" spans="1:11">
      <c r="A412" t="s">
        <v>2084</v>
      </c>
      <c r="B412" s="131" t="s">
        <v>949</v>
      </c>
      <c r="C412" s="154" t="s">
        <v>950</v>
      </c>
      <c r="D412" s="154"/>
      <c r="E412" s="154"/>
      <c r="F412" s="154"/>
      <c r="G412" s="154"/>
      <c r="H412" s="154"/>
      <c r="I412" s="131"/>
      <c r="J412" s="132">
        <v>109707.73699999999</v>
      </c>
      <c r="K412" s="133">
        <f ca="1">SUM(K413:K429)</f>
        <v>136838.62499999997</v>
      </c>
    </row>
    <row r="413" spans="1:11" ht="25.2" customHeight="1">
      <c r="A413" t="s">
        <v>2085</v>
      </c>
      <c r="B413" s="134" t="s">
        <v>951</v>
      </c>
      <c r="C413" s="135" t="s">
        <v>952</v>
      </c>
      <c r="D413" s="136" t="s">
        <v>953</v>
      </c>
      <c r="E413" s="135" t="s">
        <v>14</v>
      </c>
      <c r="F413" s="135" t="s">
        <v>30</v>
      </c>
      <c r="G413" s="137">
        <v>604.4</v>
      </c>
      <c r="H413" s="138">
        <v>30.04</v>
      </c>
      <c r="I413" s="138">
        <f t="shared" ref="I413:I433" ca="1" si="26">(H413*J$5)+H413</f>
        <v>37.549999999999997</v>
      </c>
      <c r="J413" s="139">
        <v>18210.572</v>
      </c>
      <c r="K413" s="140">
        <f t="shared" ref="K413:K428" ca="1" si="27">I413*G413</f>
        <v>22695.219999999998</v>
      </c>
    </row>
    <row r="414" spans="1:11" ht="25.2" customHeight="1">
      <c r="A414" t="s">
        <v>2086</v>
      </c>
      <c r="B414" s="134" t="s">
        <v>954</v>
      </c>
      <c r="C414" s="135" t="s">
        <v>955</v>
      </c>
      <c r="D414" s="136" t="s">
        <v>956</v>
      </c>
      <c r="E414" s="135" t="s">
        <v>14</v>
      </c>
      <c r="F414" s="135" t="s">
        <v>30</v>
      </c>
      <c r="G414" s="137">
        <v>235.9</v>
      </c>
      <c r="H414" s="138">
        <v>62.06</v>
      </c>
      <c r="I414" s="138">
        <f t="shared" ca="1" si="26"/>
        <v>77.575000000000003</v>
      </c>
      <c r="J414" s="139">
        <v>14677.698</v>
      </c>
      <c r="K414" s="140">
        <v>18301.12</v>
      </c>
    </row>
    <row r="415" spans="1:11" ht="24" customHeight="1">
      <c r="A415" t="s">
        <v>2087</v>
      </c>
      <c r="B415" s="134" t="s">
        <v>957</v>
      </c>
      <c r="C415" s="135" t="s">
        <v>958</v>
      </c>
      <c r="D415" s="136" t="s">
        <v>959</v>
      </c>
      <c r="E415" s="135" t="s">
        <v>14</v>
      </c>
      <c r="F415" s="135" t="s">
        <v>30</v>
      </c>
      <c r="G415" s="137">
        <v>83.5</v>
      </c>
      <c r="H415" s="138">
        <v>103</v>
      </c>
      <c r="I415" s="138">
        <f t="shared" ca="1" si="26"/>
        <v>128.75</v>
      </c>
      <c r="J415" s="139">
        <v>8609.6849999999995</v>
      </c>
      <c r="K415" s="140">
        <f t="shared" ca="1" si="27"/>
        <v>10750.625</v>
      </c>
    </row>
    <row r="416" spans="1:11" ht="24.6" customHeight="1">
      <c r="A416" t="s">
        <v>2088</v>
      </c>
      <c r="B416" s="134" t="s">
        <v>960</v>
      </c>
      <c r="C416" s="135" t="s">
        <v>961</v>
      </c>
      <c r="D416" s="136" t="s">
        <v>962</v>
      </c>
      <c r="E416" s="135" t="s">
        <v>14</v>
      </c>
      <c r="F416" s="135" t="s">
        <v>30</v>
      </c>
      <c r="G416" s="137">
        <v>79.599999999999994</v>
      </c>
      <c r="H416" s="138">
        <v>161.63999999999999</v>
      </c>
      <c r="I416" s="138">
        <f t="shared" ca="1" si="26"/>
        <v>202.04999999999998</v>
      </c>
      <c r="J416" s="139">
        <v>12876.892</v>
      </c>
      <c r="K416" s="140">
        <f t="shared" ca="1" si="27"/>
        <v>16083.179999999997</v>
      </c>
    </row>
    <row r="417" spans="1:11" ht="28.2" customHeight="1">
      <c r="A417" t="s">
        <v>2089</v>
      </c>
      <c r="B417" s="134" t="s">
        <v>963</v>
      </c>
      <c r="C417" s="135" t="s">
        <v>964</v>
      </c>
      <c r="D417" s="136" t="s">
        <v>965</v>
      </c>
      <c r="E417" s="135" t="s">
        <v>14</v>
      </c>
      <c r="F417" s="135" t="s">
        <v>30</v>
      </c>
      <c r="G417" s="137">
        <v>51.5</v>
      </c>
      <c r="H417" s="138">
        <v>240.82</v>
      </c>
      <c r="I417" s="138">
        <f t="shared" ca="1" si="26"/>
        <v>301.02499999999998</v>
      </c>
      <c r="J417" s="139">
        <v>12409.44</v>
      </c>
      <c r="K417" s="140">
        <v>15503.05</v>
      </c>
    </row>
    <row r="418" spans="1:11" ht="26.4" customHeight="1">
      <c r="A418" t="s">
        <v>2090</v>
      </c>
      <c r="B418" s="134" t="s">
        <v>966</v>
      </c>
      <c r="C418" s="135" t="s">
        <v>967</v>
      </c>
      <c r="D418" s="136" t="s">
        <v>968</v>
      </c>
      <c r="E418" s="135" t="s">
        <v>14</v>
      </c>
      <c r="F418" s="135" t="s">
        <v>30</v>
      </c>
      <c r="G418" s="137">
        <v>20.5</v>
      </c>
      <c r="H418" s="138">
        <v>416.5</v>
      </c>
      <c r="I418" s="138">
        <f t="shared" ca="1" si="26"/>
        <v>520.625</v>
      </c>
      <c r="J418" s="139">
        <v>8541.1200000000008</v>
      </c>
      <c r="K418" s="140">
        <v>10672.92</v>
      </c>
    </row>
    <row r="419" spans="1:11" ht="25.2" customHeight="1">
      <c r="A419" t="s">
        <v>2091</v>
      </c>
      <c r="B419" s="134" t="s">
        <v>969</v>
      </c>
      <c r="C419" s="135" t="s">
        <v>970</v>
      </c>
      <c r="D419" s="136" t="s">
        <v>971</v>
      </c>
      <c r="E419" s="135" t="s">
        <v>14</v>
      </c>
      <c r="F419" s="135" t="s">
        <v>22</v>
      </c>
      <c r="G419" s="137">
        <v>26</v>
      </c>
      <c r="H419" s="138">
        <v>41.32</v>
      </c>
      <c r="I419" s="138">
        <f t="shared" ca="1" si="26"/>
        <v>51.65</v>
      </c>
      <c r="J419" s="139">
        <v>1082.6400000000001</v>
      </c>
      <c r="K419" s="140">
        <v>1342.9</v>
      </c>
    </row>
    <row r="420" spans="1:11" ht="30.6" customHeight="1">
      <c r="A420" t="s">
        <v>2092</v>
      </c>
      <c r="B420" s="134" t="s">
        <v>972</v>
      </c>
      <c r="C420" s="135" t="s">
        <v>973</v>
      </c>
      <c r="D420" s="136" t="s">
        <v>974</v>
      </c>
      <c r="E420" s="135" t="s">
        <v>14</v>
      </c>
      <c r="F420" s="135" t="s">
        <v>22</v>
      </c>
      <c r="G420" s="137">
        <v>8</v>
      </c>
      <c r="H420" s="138">
        <v>118.04</v>
      </c>
      <c r="I420" s="138">
        <f t="shared" ca="1" si="26"/>
        <v>147.55000000000001</v>
      </c>
      <c r="J420" s="139">
        <v>948.8</v>
      </c>
      <c r="K420" s="140">
        <f t="shared" ca="1" si="27"/>
        <v>1180.4000000000001</v>
      </c>
    </row>
    <row r="421" spans="1:11" ht="30.6" customHeight="1">
      <c r="A421" t="s">
        <v>2093</v>
      </c>
      <c r="B421" s="134" t="s">
        <v>975</v>
      </c>
      <c r="C421" s="135" t="s">
        <v>976</v>
      </c>
      <c r="D421" s="136" t="s">
        <v>977</v>
      </c>
      <c r="E421" s="135" t="s">
        <v>14</v>
      </c>
      <c r="F421" s="135" t="s">
        <v>22</v>
      </c>
      <c r="G421" s="137">
        <v>179</v>
      </c>
      <c r="H421" s="138">
        <v>40.39</v>
      </c>
      <c r="I421" s="138">
        <f t="shared" ca="1" si="26"/>
        <v>50.487499999999997</v>
      </c>
      <c r="J421" s="139">
        <v>7287.09</v>
      </c>
      <c r="K421" s="140">
        <v>9037.7099999999991</v>
      </c>
    </row>
    <row r="422" spans="1:11" ht="33" customHeight="1">
      <c r="A422" t="s">
        <v>2094</v>
      </c>
      <c r="B422" s="134" t="s">
        <v>978</v>
      </c>
      <c r="C422" s="135" t="s">
        <v>979</v>
      </c>
      <c r="D422" s="136" t="s">
        <v>980</v>
      </c>
      <c r="E422" s="135" t="s">
        <v>14</v>
      </c>
      <c r="F422" s="135" t="s">
        <v>22</v>
      </c>
      <c r="G422" s="137">
        <v>48</v>
      </c>
      <c r="H422" s="138">
        <v>120.88</v>
      </c>
      <c r="I422" s="138">
        <f t="shared" ca="1" si="26"/>
        <v>151.1</v>
      </c>
      <c r="J422" s="139">
        <v>5829.12</v>
      </c>
      <c r="K422" s="140">
        <v>7252.8</v>
      </c>
    </row>
    <row r="423" spans="1:11" ht="32.4" customHeight="1">
      <c r="A423" t="s">
        <v>2095</v>
      </c>
      <c r="B423" s="134" t="s">
        <v>981</v>
      </c>
      <c r="C423" s="135" t="s">
        <v>982</v>
      </c>
      <c r="D423" s="136" t="s">
        <v>983</v>
      </c>
      <c r="E423" s="135" t="s">
        <v>14</v>
      </c>
      <c r="F423" s="135" t="s">
        <v>22</v>
      </c>
      <c r="G423" s="137">
        <v>57</v>
      </c>
      <c r="H423" s="138">
        <v>71.97</v>
      </c>
      <c r="I423" s="138">
        <f t="shared" ca="1" si="26"/>
        <v>89.962500000000006</v>
      </c>
      <c r="J423" s="139">
        <v>4113.12</v>
      </c>
      <c r="K423" s="140">
        <v>5127.72</v>
      </c>
    </row>
    <row r="424" spans="1:11" ht="27" customHeight="1">
      <c r="A424" t="s">
        <v>2096</v>
      </c>
      <c r="B424" s="134" t="s">
        <v>984</v>
      </c>
      <c r="C424" s="135" t="s">
        <v>985</v>
      </c>
      <c r="D424" s="136" t="s">
        <v>986</v>
      </c>
      <c r="E424" s="135" t="s">
        <v>14</v>
      </c>
      <c r="F424" s="135" t="s">
        <v>22</v>
      </c>
      <c r="G424" s="137">
        <v>2</v>
      </c>
      <c r="H424" s="138">
        <v>180.41</v>
      </c>
      <c r="I424" s="138">
        <f t="shared" ca="1" si="26"/>
        <v>225.51249999999999</v>
      </c>
      <c r="J424" s="139">
        <v>362.06</v>
      </c>
      <c r="K424" s="140">
        <v>451.02</v>
      </c>
    </row>
    <row r="425" spans="1:11" ht="25.8" customHeight="1">
      <c r="A425" t="s">
        <v>2097</v>
      </c>
      <c r="B425" s="134" t="s">
        <v>987</v>
      </c>
      <c r="C425" s="135" t="s">
        <v>988</v>
      </c>
      <c r="D425" s="136" t="s">
        <v>989</v>
      </c>
      <c r="E425" s="135" t="s">
        <v>14</v>
      </c>
      <c r="F425" s="135" t="s">
        <v>22</v>
      </c>
      <c r="G425" s="137">
        <v>1</v>
      </c>
      <c r="H425" s="138">
        <v>238.48</v>
      </c>
      <c r="I425" s="138">
        <f t="shared" ca="1" si="26"/>
        <v>298.09999999999997</v>
      </c>
      <c r="J425" s="139">
        <v>239.22</v>
      </c>
      <c r="K425" s="140">
        <f t="shared" ca="1" si="27"/>
        <v>298.09999999999997</v>
      </c>
    </row>
    <row r="426" spans="1:11" ht="31.2" customHeight="1">
      <c r="A426" t="s">
        <v>2098</v>
      </c>
      <c r="B426" s="134" t="s">
        <v>990</v>
      </c>
      <c r="C426" s="135" t="s">
        <v>991</v>
      </c>
      <c r="D426" s="136" t="s">
        <v>992</v>
      </c>
      <c r="E426" s="135" t="s">
        <v>14</v>
      </c>
      <c r="F426" s="135" t="s">
        <v>22</v>
      </c>
      <c r="G426" s="137">
        <v>3</v>
      </c>
      <c r="H426" s="138">
        <v>30.01</v>
      </c>
      <c r="I426" s="138">
        <f t="shared" ca="1" si="26"/>
        <v>37.512500000000003</v>
      </c>
      <c r="J426" s="139">
        <v>90.66</v>
      </c>
      <c r="K426" s="140">
        <v>112.53</v>
      </c>
    </row>
    <row r="427" spans="1:11" ht="30" customHeight="1">
      <c r="A427" t="s">
        <v>2099</v>
      </c>
      <c r="B427" s="134" t="s">
        <v>993</v>
      </c>
      <c r="C427" s="135" t="s">
        <v>994</v>
      </c>
      <c r="D427" s="136" t="s">
        <v>995</v>
      </c>
      <c r="E427" s="135" t="s">
        <v>14</v>
      </c>
      <c r="F427" s="135" t="s">
        <v>22</v>
      </c>
      <c r="G427" s="137">
        <v>2</v>
      </c>
      <c r="H427" s="138">
        <v>71.709999999999994</v>
      </c>
      <c r="I427" s="138">
        <f t="shared" ca="1" si="26"/>
        <v>89.637499999999989</v>
      </c>
      <c r="J427" s="139">
        <v>144.26</v>
      </c>
      <c r="K427" s="140">
        <v>179.28</v>
      </c>
    </row>
    <row r="428" spans="1:11" ht="25.2" customHeight="1">
      <c r="A428" t="s">
        <v>2100</v>
      </c>
      <c r="B428" s="134" t="s">
        <v>996</v>
      </c>
      <c r="C428" s="135" t="s">
        <v>997</v>
      </c>
      <c r="D428" s="136" t="s">
        <v>998</v>
      </c>
      <c r="E428" s="135" t="s">
        <v>14</v>
      </c>
      <c r="F428" s="135" t="s">
        <v>22</v>
      </c>
      <c r="G428" s="137">
        <v>19</v>
      </c>
      <c r="H428" s="138">
        <v>81.08</v>
      </c>
      <c r="I428" s="138">
        <f t="shared" ca="1" si="26"/>
        <v>101.35</v>
      </c>
      <c r="J428" s="139">
        <v>1545.84</v>
      </c>
      <c r="K428" s="140">
        <f t="shared" ca="1" si="27"/>
        <v>1925.6499999999999</v>
      </c>
    </row>
    <row r="429" spans="1:11" ht="28.2" customHeight="1">
      <c r="A429" t="s">
        <v>2101</v>
      </c>
      <c r="B429" s="134" t="s">
        <v>999</v>
      </c>
      <c r="C429" s="135" t="s">
        <v>1000</v>
      </c>
      <c r="D429" s="136" t="s">
        <v>1001</v>
      </c>
      <c r="E429" s="135" t="s">
        <v>26</v>
      </c>
      <c r="F429" s="135" t="s">
        <v>22</v>
      </c>
      <c r="G429" s="137">
        <v>82</v>
      </c>
      <c r="H429" s="138">
        <v>155.36000000000001</v>
      </c>
      <c r="I429" s="138">
        <f t="shared" ca="1" si="26"/>
        <v>194.20000000000002</v>
      </c>
      <c r="J429" s="139">
        <v>12739.52</v>
      </c>
      <c r="K429" s="140">
        <v>15924.4</v>
      </c>
    </row>
    <row r="430" spans="1:11" ht="20.399999999999999" customHeight="1">
      <c r="A430" t="s">
        <v>2102</v>
      </c>
      <c r="B430" s="131" t="s">
        <v>1002</v>
      </c>
      <c r="C430" s="154" t="s">
        <v>1003</v>
      </c>
      <c r="D430" s="154"/>
      <c r="E430" s="154"/>
      <c r="F430" s="154"/>
      <c r="G430" s="154"/>
      <c r="H430" s="154"/>
      <c r="I430" s="131"/>
      <c r="J430" s="132">
        <v>28907.019499999999</v>
      </c>
      <c r="K430" s="133">
        <f>SUM(K431:K433)</f>
        <v>35928.22</v>
      </c>
    </row>
    <row r="431" spans="1:11" ht="27" customHeight="1">
      <c r="A431" t="s">
        <v>2103</v>
      </c>
      <c r="B431" s="134" t="s">
        <v>1004</v>
      </c>
      <c r="C431" s="135" t="s">
        <v>1005</v>
      </c>
      <c r="D431" s="136" t="s">
        <v>1006</v>
      </c>
      <c r="E431" s="135" t="s">
        <v>14</v>
      </c>
      <c r="F431" s="135" t="s">
        <v>22</v>
      </c>
      <c r="G431" s="137">
        <v>19</v>
      </c>
      <c r="H431" s="138">
        <v>539.54999999999995</v>
      </c>
      <c r="I431" s="138">
        <f t="shared" ca="1" si="26"/>
        <v>674.4375</v>
      </c>
      <c r="J431" s="139">
        <v>10389.39</v>
      </c>
      <c r="K431" s="140">
        <v>12814.36</v>
      </c>
    </row>
    <row r="432" spans="1:11" ht="25.8" customHeight="1">
      <c r="A432" t="s">
        <v>2104</v>
      </c>
      <c r="B432" s="134" t="s">
        <v>1007</v>
      </c>
      <c r="C432" s="135" t="s">
        <v>1008</v>
      </c>
      <c r="D432" s="136" t="s">
        <v>1009</v>
      </c>
      <c r="E432" s="135" t="s">
        <v>14</v>
      </c>
      <c r="F432" s="135" t="s">
        <v>22</v>
      </c>
      <c r="G432" s="137">
        <v>10</v>
      </c>
      <c r="H432" s="138">
        <v>501.13</v>
      </c>
      <c r="I432" s="138">
        <f t="shared" ca="1" si="26"/>
        <v>626.41250000000002</v>
      </c>
      <c r="J432" s="139">
        <v>5037.8</v>
      </c>
      <c r="K432" s="140">
        <v>6264.1</v>
      </c>
    </row>
    <row r="433" spans="1:11">
      <c r="A433" t="s">
        <v>2105</v>
      </c>
      <c r="B433" s="134" t="s">
        <v>1010</v>
      </c>
      <c r="C433" s="135" t="s">
        <v>1011</v>
      </c>
      <c r="D433" s="136" t="s">
        <v>1012</v>
      </c>
      <c r="E433" s="135" t="s">
        <v>26</v>
      </c>
      <c r="F433" s="135" t="s">
        <v>15</v>
      </c>
      <c r="G433" s="137">
        <v>12.55</v>
      </c>
      <c r="H433" s="138">
        <v>1074.0899999999999</v>
      </c>
      <c r="I433" s="138">
        <f t="shared" ca="1" si="26"/>
        <v>1342.6125</v>
      </c>
      <c r="J433" s="139">
        <v>13479.8295</v>
      </c>
      <c r="K433" s="140">
        <v>16849.759999999998</v>
      </c>
    </row>
    <row r="434" spans="1:11">
      <c r="A434" t="s">
        <v>2106</v>
      </c>
      <c r="B434" s="131" t="s">
        <v>1013</v>
      </c>
      <c r="C434" s="154" t="s">
        <v>1014</v>
      </c>
      <c r="D434" s="154"/>
      <c r="E434" s="154"/>
      <c r="F434" s="154"/>
      <c r="G434" s="154"/>
      <c r="H434" s="154"/>
      <c r="I434" s="131"/>
      <c r="J434" s="132">
        <v>96572.573999999993</v>
      </c>
      <c r="K434" s="133">
        <f ca="1">SUM(K435,K462,K466)</f>
        <v>119582.31000000001</v>
      </c>
    </row>
    <row r="435" spans="1:11">
      <c r="A435" t="s">
        <v>2107</v>
      </c>
      <c r="B435" s="131" t="s">
        <v>1015</v>
      </c>
      <c r="C435" s="154" t="s">
        <v>1016</v>
      </c>
      <c r="D435" s="154"/>
      <c r="E435" s="154"/>
      <c r="F435" s="154"/>
      <c r="G435" s="154"/>
      <c r="H435" s="154"/>
      <c r="I435" s="131"/>
      <c r="J435" s="132">
        <v>40932.845999999998</v>
      </c>
      <c r="K435" s="133">
        <f ca="1">SUM(K436:K461)</f>
        <v>50564.980000000018</v>
      </c>
    </row>
    <row r="436" spans="1:11" ht="24" customHeight="1">
      <c r="A436" t="s">
        <v>2108</v>
      </c>
      <c r="B436" s="134" t="s">
        <v>1017</v>
      </c>
      <c r="C436" s="135" t="s">
        <v>1018</v>
      </c>
      <c r="D436" s="136" t="s">
        <v>1019</v>
      </c>
      <c r="E436" s="135" t="s">
        <v>14</v>
      </c>
      <c r="F436" s="135" t="s">
        <v>30</v>
      </c>
      <c r="G436" s="137">
        <v>142.6</v>
      </c>
      <c r="H436" s="138">
        <v>20.25</v>
      </c>
      <c r="I436" s="138">
        <f t="shared" ref="I436:I499" ca="1" si="28">(H436*J$5)+H436</f>
        <v>25.3125</v>
      </c>
      <c r="J436" s="139">
        <v>2936.134</v>
      </c>
      <c r="K436" s="140">
        <v>3609.21</v>
      </c>
    </row>
    <row r="437" spans="1:11" ht="30" customHeight="1">
      <c r="A437" t="s">
        <v>2109</v>
      </c>
      <c r="B437" s="134" t="s">
        <v>1020</v>
      </c>
      <c r="C437" s="135" t="s">
        <v>1021</v>
      </c>
      <c r="D437" s="136" t="s">
        <v>1022</v>
      </c>
      <c r="E437" s="135" t="s">
        <v>14</v>
      </c>
      <c r="F437" s="135" t="s">
        <v>30</v>
      </c>
      <c r="G437" s="137">
        <v>171.2</v>
      </c>
      <c r="H437" s="138">
        <v>25.51</v>
      </c>
      <c r="I437" s="138">
        <f t="shared" ca="1" si="28"/>
        <v>31.887500000000003</v>
      </c>
      <c r="J437" s="139">
        <v>4430.6559999999999</v>
      </c>
      <c r="K437" s="140">
        <v>5459.57</v>
      </c>
    </row>
    <row r="438" spans="1:11" ht="28.8" customHeight="1">
      <c r="A438" t="s">
        <v>2110</v>
      </c>
      <c r="B438" s="134" t="s">
        <v>1023</v>
      </c>
      <c r="C438" s="135" t="s">
        <v>1024</v>
      </c>
      <c r="D438" s="136" t="s">
        <v>1025</v>
      </c>
      <c r="E438" s="135" t="s">
        <v>14</v>
      </c>
      <c r="F438" s="135" t="s">
        <v>30</v>
      </c>
      <c r="G438" s="137">
        <v>45.5</v>
      </c>
      <c r="H438" s="138">
        <v>31.74</v>
      </c>
      <c r="I438" s="138">
        <f t="shared" ca="1" si="28"/>
        <v>39.674999999999997</v>
      </c>
      <c r="J438" s="139">
        <v>1464.645</v>
      </c>
      <c r="K438" s="140">
        <v>1805.44</v>
      </c>
    </row>
    <row r="439" spans="1:11" ht="24" customHeight="1">
      <c r="A439" t="s">
        <v>2111</v>
      </c>
      <c r="B439" s="134" t="s">
        <v>1026</v>
      </c>
      <c r="C439" s="135" t="s">
        <v>1027</v>
      </c>
      <c r="D439" s="136" t="s">
        <v>1028</v>
      </c>
      <c r="E439" s="135" t="s">
        <v>14</v>
      </c>
      <c r="F439" s="135" t="s">
        <v>30</v>
      </c>
      <c r="G439" s="137">
        <v>349.1</v>
      </c>
      <c r="H439" s="138">
        <v>35.54</v>
      </c>
      <c r="I439" s="138">
        <f t="shared" ca="1" si="28"/>
        <v>44.424999999999997</v>
      </c>
      <c r="J439" s="139">
        <v>12585.055</v>
      </c>
      <c r="K439" s="140">
        <v>15510.51</v>
      </c>
    </row>
    <row r="440" spans="1:11" ht="27" customHeight="1">
      <c r="A440" t="s">
        <v>2112</v>
      </c>
      <c r="B440" s="134" t="s">
        <v>1029</v>
      </c>
      <c r="C440" s="135" t="s">
        <v>1030</v>
      </c>
      <c r="D440" s="136" t="s">
        <v>1031</v>
      </c>
      <c r="E440" s="135" t="s">
        <v>14</v>
      </c>
      <c r="F440" s="135" t="s">
        <v>30</v>
      </c>
      <c r="G440" s="137">
        <v>24.6</v>
      </c>
      <c r="H440" s="138">
        <v>52.14</v>
      </c>
      <c r="I440" s="138">
        <f t="shared" ca="1" si="28"/>
        <v>65.174999999999997</v>
      </c>
      <c r="J440" s="139">
        <v>1291.7460000000001</v>
      </c>
      <c r="K440" s="140">
        <v>1603.43</v>
      </c>
    </row>
    <row r="441" spans="1:11" ht="25.8" customHeight="1">
      <c r="A441" t="s">
        <v>2113</v>
      </c>
      <c r="B441" s="134" t="s">
        <v>1032</v>
      </c>
      <c r="C441" s="135" t="s">
        <v>1033</v>
      </c>
      <c r="D441" s="136" t="s">
        <v>1034</v>
      </c>
      <c r="E441" s="135" t="s">
        <v>14</v>
      </c>
      <c r="F441" s="135" t="s">
        <v>22</v>
      </c>
      <c r="G441" s="137">
        <v>60</v>
      </c>
      <c r="H441" s="138">
        <v>9.74</v>
      </c>
      <c r="I441" s="138">
        <f t="shared" ca="1" si="28"/>
        <v>12.175000000000001</v>
      </c>
      <c r="J441" s="139">
        <v>592.79999999999995</v>
      </c>
      <c r="K441" s="140">
        <v>730.8</v>
      </c>
    </row>
    <row r="442" spans="1:11" ht="26.4" customHeight="1">
      <c r="A442" t="s">
        <v>2114</v>
      </c>
      <c r="B442" s="134" t="s">
        <v>1035</v>
      </c>
      <c r="C442" s="135" t="s">
        <v>1036</v>
      </c>
      <c r="D442" s="136" t="s">
        <v>1037</v>
      </c>
      <c r="E442" s="135" t="s">
        <v>14</v>
      </c>
      <c r="F442" s="135" t="s">
        <v>22</v>
      </c>
      <c r="G442" s="137">
        <v>48</v>
      </c>
      <c r="H442" s="138">
        <v>14.58</v>
      </c>
      <c r="I442" s="138">
        <f t="shared" ca="1" si="28"/>
        <v>18.225000000000001</v>
      </c>
      <c r="J442" s="139">
        <v>707.52</v>
      </c>
      <c r="K442" s="140">
        <v>875.04</v>
      </c>
    </row>
    <row r="443" spans="1:11" ht="25.8" customHeight="1">
      <c r="A443" t="s">
        <v>2115</v>
      </c>
      <c r="B443" s="134" t="s">
        <v>1038</v>
      </c>
      <c r="C443" s="135" t="s">
        <v>1039</v>
      </c>
      <c r="D443" s="136" t="s">
        <v>1040</v>
      </c>
      <c r="E443" s="135" t="s">
        <v>14</v>
      </c>
      <c r="F443" s="135" t="s">
        <v>22</v>
      </c>
      <c r="G443" s="137">
        <v>8</v>
      </c>
      <c r="H443" s="138">
        <v>21.83</v>
      </c>
      <c r="I443" s="138">
        <f t="shared" ca="1" si="28"/>
        <v>27.287499999999998</v>
      </c>
      <c r="J443" s="139">
        <v>176.16</v>
      </c>
      <c r="K443" s="140">
        <v>218.32</v>
      </c>
    </row>
    <row r="444" spans="1:11" ht="25.8" customHeight="1">
      <c r="A444" t="s">
        <v>2116</v>
      </c>
      <c r="B444" s="134" t="s">
        <v>1041</v>
      </c>
      <c r="C444" s="135" t="s">
        <v>1042</v>
      </c>
      <c r="D444" s="136" t="s">
        <v>1043</v>
      </c>
      <c r="E444" s="135" t="s">
        <v>14</v>
      </c>
      <c r="F444" s="135" t="s">
        <v>22</v>
      </c>
      <c r="G444" s="137">
        <v>16</v>
      </c>
      <c r="H444" s="138">
        <v>26.22</v>
      </c>
      <c r="I444" s="138">
        <f t="shared" ca="1" si="28"/>
        <v>32.774999999999999</v>
      </c>
      <c r="J444" s="139">
        <v>422.88</v>
      </c>
      <c r="K444" s="140">
        <v>524.48</v>
      </c>
    </row>
    <row r="445" spans="1:11" ht="26.4" customHeight="1">
      <c r="A445" t="s">
        <v>2117</v>
      </c>
      <c r="B445" s="134" t="s">
        <v>1044</v>
      </c>
      <c r="C445" s="135" t="s">
        <v>1045</v>
      </c>
      <c r="D445" s="136" t="s">
        <v>1046</v>
      </c>
      <c r="E445" s="135" t="s">
        <v>14</v>
      </c>
      <c r="F445" s="135" t="s">
        <v>22</v>
      </c>
      <c r="G445" s="137">
        <v>6</v>
      </c>
      <c r="H445" s="138">
        <v>9.5299999999999994</v>
      </c>
      <c r="I445" s="138">
        <f t="shared" ca="1" si="28"/>
        <v>11.9125</v>
      </c>
      <c r="J445" s="139">
        <v>58.02</v>
      </c>
      <c r="K445" s="140">
        <v>71.459999999999994</v>
      </c>
    </row>
    <row r="446" spans="1:11" ht="27" customHeight="1">
      <c r="A446" t="s">
        <v>2118</v>
      </c>
      <c r="B446" s="134" t="s">
        <v>1047</v>
      </c>
      <c r="C446" s="135" t="s">
        <v>1048</v>
      </c>
      <c r="D446" s="136" t="s">
        <v>1049</v>
      </c>
      <c r="E446" s="135" t="s">
        <v>14</v>
      </c>
      <c r="F446" s="135" t="s">
        <v>22</v>
      </c>
      <c r="G446" s="137">
        <v>28</v>
      </c>
      <c r="H446" s="138">
        <v>13.92</v>
      </c>
      <c r="I446" s="138">
        <f t="shared" ca="1" si="28"/>
        <v>17.399999999999999</v>
      </c>
      <c r="J446" s="139">
        <v>394.24</v>
      </c>
      <c r="K446" s="140">
        <f t="shared" ref="K446:K495" ca="1" si="29">I446*G446</f>
        <v>487.19999999999993</v>
      </c>
    </row>
    <row r="447" spans="1:11" ht="27" customHeight="1">
      <c r="A447" t="s">
        <v>2119</v>
      </c>
      <c r="B447" s="134" t="s">
        <v>1050</v>
      </c>
      <c r="C447" s="135" t="s">
        <v>1051</v>
      </c>
      <c r="D447" s="136" t="s">
        <v>1052</v>
      </c>
      <c r="E447" s="135" t="s">
        <v>14</v>
      </c>
      <c r="F447" s="135" t="s">
        <v>22</v>
      </c>
      <c r="G447" s="137">
        <v>42</v>
      </c>
      <c r="H447" s="138">
        <v>25.46</v>
      </c>
      <c r="I447" s="138">
        <f t="shared" ca="1" si="28"/>
        <v>31.825000000000003</v>
      </c>
      <c r="J447" s="139">
        <v>1078.1400000000001</v>
      </c>
      <c r="K447" s="140">
        <v>1336.86</v>
      </c>
    </row>
    <row r="448" spans="1:11" ht="28.8" customHeight="1">
      <c r="A448" t="s">
        <v>2120</v>
      </c>
      <c r="B448" s="134" t="s">
        <v>1053</v>
      </c>
      <c r="C448" s="135" t="s">
        <v>1054</v>
      </c>
      <c r="D448" s="136" t="s">
        <v>1055</v>
      </c>
      <c r="E448" s="135" t="s">
        <v>26</v>
      </c>
      <c r="F448" s="135" t="s">
        <v>22</v>
      </c>
      <c r="G448" s="137">
        <v>17</v>
      </c>
      <c r="H448" s="138">
        <v>49.06</v>
      </c>
      <c r="I448" s="138">
        <f t="shared" ca="1" si="28"/>
        <v>61.325000000000003</v>
      </c>
      <c r="J448" s="139">
        <v>834.02</v>
      </c>
      <c r="K448" s="140">
        <v>1042.6099999999999</v>
      </c>
    </row>
    <row r="449" spans="1:11" ht="26.4" customHeight="1">
      <c r="A449" t="s">
        <v>2121</v>
      </c>
      <c r="B449" s="134" t="s">
        <v>1056</v>
      </c>
      <c r="C449" s="135" t="s">
        <v>1057</v>
      </c>
      <c r="D449" s="136" t="s">
        <v>1058</v>
      </c>
      <c r="E449" s="135" t="s">
        <v>14</v>
      </c>
      <c r="F449" s="135" t="s">
        <v>22</v>
      </c>
      <c r="G449" s="137">
        <v>10</v>
      </c>
      <c r="H449" s="138">
        <v>48.7</v>
      </c>
      <c r="I449" s="138">
        <f t="shared" ca="1" si="28"/>
        <v>60.875</v>
      </c>
      <c r="J449" s="139">
        <v>490.3</v>
      </c>
      <c r="K449" s="140">
        <v>608.79999999999995</v>
      </c>
    </row>
    <row r="450" spans="1:11" ht="33.6" customHeight="1">
      <c r="A450" t="s">
        <v>2122</v>
      </c>
      <c r="B450" s="134" t="s">
        <v>1059</v>
      </c>
      <c r="C450" s="135" t="s">
        <v>1060</v>
      </c>
      <c r="D450" s="136" t="s">
        <v>1061</v>
      </c>
      <c r="E450" s="135" t="s">
        <v>14</v>
      </c>
      <c r="F450" s="135" t="s">
        <v>22</v>
      </c>
      <c r="G450" s="137">
        <v>7</v>
      </c>
      <c r="H450" s="138">
        <v>17.97</v>
      </c>
      <c r="I450" s="138">
        <f t="shared" ca="1" si="28"/>
        <v>22.462499999999999</v>
      </c>
      <c r="J450" s="139">
        <v>126.14</v>
      </c>
      <c r="K450" s="140">
        <v>157.22</v>
      </c>
    </row>
    <row r="451" spans="1:11" ht="28.2" customHeight="1">
      <c r="A451" t="s">
        <v>2123</v>
      </c>
      <c r="B451" s="134" t="s">
        <v>1062</v>
      </c>
      <c r="C451" s="135" t="s">
        <v>1063</v>
      </c>
      <c r="D451" s="136" t="s">
        <v>1064</v>
      </c>
      <c r="E451" s="135" t="s">
        <v>26</v>
      </c>
      <c r="F451" s="135" t="s">
        <v>22</v>
      </c>
      <c r="G451" s="137">
        <v>12</v>
      </c>
      <c r="H451" s="138">
        <v>37.869999999999997</v>
      </c>
      <c r="I451" s="138">
        <f t="shared" ca="1" si="28"/>
        <v>47.337499999999999</v>
      </c>
      <c r="J451" s="139">
        <v>454.44</v>
      </c>
      <c r="K451" s="140">
        <v>568.08000000000004</v>
      </c>
    </row>
    <row r="452" spans="1:11" ht="34.200000000000003" customHeight="1">
      <c r="A452" t="s">
        <v>2124</v>
      </c>
      <c r="B452" s="134" t="s">
        <v>1065</v>
      </c>
      <c r="C452" s="135" t="s">
        <v>1066</v>
      </c>
      <c r="D452" s="136" t="s">
        <v>1067</v>
      </c>
      <c r="E452" s="135" t="s">
        <v>14</v>
      </c>
      <c r="F452" s="135" t="s">
        <v>22</v>
      </c>
      <c r="G452" s="137">
        <v>6</v>
      </c>
      <c r="H452" s="138">
        <v>10.17</v>
      </c>
      <c r="I452" s="138">
        <f t="shared" ca="1" si="28"/>
        <v>12.7125</v>
      </c>
      <c r="J452" s="139">
        <v>61.02</v>
      </c>
      <c r="K452" s="140">
        <v>76.260000000000005</v>
      </c>
    </row>
    <row r="453" spans="1:11" ht="27.6" customHeight="1">
      <c r="A453" t="s">
        <v>2125</v>
      </c>
      <c r="B453" s="134" t="s">
        <v>1068</v>
      </c>
      <c r="C453" s="135" t="s">
        <v>1069</v>
      </c>
      <c r="D453" s="136" t="s">
        <v>1070</v>
      </c>
      <c r="E453" s="135" t="s">
        <v>14</v>
      </c>
      <c r="F453" s="135" t="s">
        <v>22</v>
      </c>
      <c r="G453" s="137">
        <v>67</v>
      </c>
      <c r="H453" s="138">
        <v>12.17</v>
      </c>
      <c r="I453" s="138">
        <f t="shared" ca="1" si="28"/>
        <v>15.2125</v>
      </c>
      <c r="J453" s="139">
        <v>824.77</v>
      </c>
      <c r="K453" s="140">
        <v>1019.07</v>
      </c>
    </row>
    <row r="454" spans="1:11" ht="28.8" customHeight="1">
      <c r="A454" t="s">
        <v>2126</v>
      </c>
      <c r="B454" s="134" t="s">
        <v>1071</v>
      </c>
      <c r="C454" s="135" t="s">
        <v>1045</v>
      </c>
      <c r="D454" s="136" t="s">
        <v>1046</v>
      </c>
      <c r="E454" s="135" t="s">
        <v>14</v>
      </c>
      <c r="F454" s="135" t="s">
        <v>22</v>
      </c>
      <c r="G454" s="137">
        <v>59</v>
      </c>
      <c r="H454" s="138">
        <v>9.5299999999999994</v>
      </c>
      <c r="I454" s="138">
        <f t="shared" ca="1" si="28"/>
        <v>11.9125</v>
      </c>
      <c r="J454" s="139">
        <v>570.53</v>
      </c>
      <c r="K454" s="140">
        <v>702.69</v>
      </c>
    </row>
    <row r="455" spans="1:11" ht="28.2" customHeight="1">
      <c r="A455" t="s">
        <v>2127</v>
      </c>
      <c r="B455" s="134" t="s">
        <v>1072</v>
      </c>
      <c r="C455" s="135" t="s">
        <v>1073</v>
      </c>
      <c r="D455" s="136" t="s">
        <v>1074</v>
      </c>
      <c r="E455" s="135" t="s">
        <v>14</v>
      </c>
      <c r="F455" s="135" t="s">
        <v>22</v>
      </c>
      <c r="G455" s="137">
        <v>2</v>
      </c>
      <c r="H455" s="138">
        <v>28.72</v>
      </c>
      <c r="I455" s="138">
        <f t="shared" ca="1" si="28"/>
        <v>35.9</v>
      </c>
      <c r="J455" s="139">
        <v>57.62</v>
      </c>
      <c r="K455" s="140">
        <f t="shared" ca="1" si="29"/>
        <v>71.8</v>
      </c>
    </row>
    <row r="456" spans="1:11" ht="28.8" customHeight="1">
      <c r="A456" t="s">
        <v>2128</v>
      </c>
      <c r="B456" s="134" t="s">
        <v>1075</v>
      </c>
      <c r="C456" s="135" t="s">
        <v>1076</v>
      </c>
      <c r="D456" s="136" t="s">
        <v>1077</v>
      </c>
      <c r="E456" s="135" t="s">
        <v>14</v>
      </c>
      <c r="F456" s="135" t="s">
        <v>22</v>
      </c>
      <c r="G456" s="137">
        <v>7</v>
      </c>
      <c r="H456" s="138">
        <v>17.3</v>
      </c>
      <c r="I456" s="138">
        <f t="shared" ca="1" si="28"/>
        <v>21.625</v>
      </c>
      <c r="J456" s="139">
        <v>121.59</v>
      </c>
      <c r="K456" s="140">
        <v>151.41</v>
      </c>
    </row>
    <row r="457" spans="1:11" ht="24" customHeight="1">
      <c r="A457" t="s">
        <v>2129</v>
      </c>
      <c r="B457" s="134" t="s">
        <v>1078</v>
      </c>
      <c r="C457" s="135" t="s">
        <v>1079</v>
      </c>
      <c r="D457" s="136" t="s">
        <v>1080</v>
      </c>
      <c r="E457" s="135" t="s">
        <v>14</v>
      </c>
      <c r="F457" s="135" t="s">
        <v>22</v>
      </c>
      <c r="G457" s="137">
        <v>19</v>
      </c>
      <c r="H457" s="138">
        <v>44.31</v>
      </c>
      <c r="I457" s="138">
        <f t="shared" ca="1" si="28"/>
        <v>55.387500000000003</v>
      </c>
      <c r="J457" s="139">
        <v>850.82</v>
      </c>
      <c r="K457" s="140">
        <v>1052.4100000000001</v>
      </c>
    </row>
    <row r="458" spans="1:11" ht="34.200000000000003" customHeight="1">
      <c r="A458" t="s">
        <v>2130</v>
      </c>
      <c r="B458" s="134" t="s">
        <v>1081</v>
      </c>
      <c r="C458" s="135" t="s">
        <v>1082</v>
      </c>
      <c r="D458" s="136" t="s">
        <v>1083</v>
      </c>
      <c r="E458" s="135" t="s">
        <v>14</v>
      </c>
      <c r="F458" s="135" t="s">
        <v>22</v>
      </c>
      <c r="G458" s="137">
        <v>29</v>
      </c>
      <c r="H458" s="138">
        <v>63.5</v>
      </c>
      <c r="I458" s="138">
        <f t="shared" ca="1" si="28"/>
        <v>79.375</v>
      </c>
      <c r="J458" s="139">
        <v>1855.42</v>
      </c>
      <c r="K458" s="140">
        <v>2302.02</v>
      </c>
    </row>
    <row r="459" spans="1:11">
      <c r="A459" t="s">
        <v>2131</v>
      </c>
      <c r="B459" s="134" t="s">
        <v>1084</v>
      </c>
      <c r="C459" s="135" t="s">
        <v>1085</v>
      </c>
      <c r="D459" s="136" t="s">
        <v>1086</v>
      </c>
      <c r="E459" s="135" t="s">
        <v>26</v>
      </c>
      <c r="F459" s="135" t="s">
        <v>22</v>
      </c>
      <c r="G459" s="137">
        <v>2</v>
      </c>
      <c r="H459" s="138">
        <v>35.9</v>
      </c>
      <c r="I459" s="138">
        <f t="shared" ca="1" si="28"/>
        <v>44.875</v>
      </c>
      <c r="J459" s="139">
        <v>71.8</v>
      </c>
      <c r="K459" s="140">
        <v>89.76</v>
      </c>
    </row>
    <row r="460" spans="1:11" ht="34.200000000000003" customHeight="1">
      <c r="A460" t="s">
        <v>2132</v>
      </c>
      <c r="B460" s="134" t="s">
        <v>1087</v>
      </c>
      <c r="C460" s="135" t="s">
        <v>1005</v>
      </c>
      <c r="D460" s="136" t="s">
        <v>1006</v>
      </c>
      <c r="E460" s="135" t="s">
        <v>14</v>
      </c>
      <c r="F460" s="135" t="s">
        <v>22</v>
      </c>
      <c r="G460" s="137">
        <v>9</v>
      </c>
      <c r="H460" s="138">
        <v>539.54999999999995</v>
      </c>
      <c r="I460" s="138">
        <f t="shared" ca="1" si="28"/>
        <v>674.4375</v>
      </c>
      <c r="J460" s="139">
        <v>4921.29</v>
      </c>
      <c r="K460" s="140">
        <v>6069.96</v>
      </c>
    </row>
    <row r="461" spans="1:11" ht="27" customHeight="1">
      <c r="A461" t="s">
        <v>2133</v>
      </c>
      <c r="B461" s="134" t="s">
        <v>1088</v>
      </c>
      <c r="C461" s="135" t="s">
        <v>1089</v>
      </c>
      <c r="D461" s="136" t="s">
        <v>1090</v>
      </c>
      <c r="E461" s="135" t="s">
        <v>14</v>
      </c>
      <c r="F461" s="135" t="s">
        <v>22</v>
      </c>
      <c r="G461" s="137">
        <v>7</v>
      </c>
      <c r="H461" s="138">
        <v>505.21</v>
      </c>
      <c r="I461" s="138">
        <f t="shared" ca="1" si="28"/>
        <v>631.51249999999993</v>
      </c>
      <c r="J461" s="139">
        <v>3555.09</v>
      </c>
      <c r="K461" s="140">
        <v>4420.57</v>
      </c>
    </row>
    <row r="462" spans="1:11">
      <c r="A462" t="s">
        <v>2134</v>
      </c>
      <c r="B462" s="131" t="s">
        <v>1091</v>
      </c>
      <c r="C462" s="154" t="s">
        <v>1092</v>
      </c>
      <c r="D462" s="154"/>
      <c r="E462" s="154"/>
      <c r="F462" s="154"/>
      <c r="G462" s="154"/>
      <c r="H462" s="154"/>
      <c r="I462" s="131"/>
      <c r="J462" s="132">
        <v>34524.75</v>
      </c>
      <c r="K462" s="133">
        <f ca="1">SUM(K463:K465)</f>
        <v>42858.53</v>
      </c>
    </row>
    <row r="463" spans="1:11" ht="26.4" customHeight="1">
      <c r="A463" t="s">
        <v>2135</v>
      </c>
      <c r="B463" s="134" t="s">
        <v>1093</v>
      </c>
      <c r="C463" s="135" t="s">
        <v>1094</v>
      </c>
      <c r="D463" s="136" t="s">
        <v>1095</v>
      </c>
      <c r="E463" s="135" t="s">
        <v>14</v>
      </c>
      <c r="F463" s="135" t="s">
        <v>22</v>
      </c>
      <c r="G463" s="137">
        <v>1</v>
      </c>
      <c r="H463" s="138">
        <v>10823.35</v>
      </c>
      <c r="I463" s="138">
        <f t="shared" ca="1" si="28"/>
        <v>13529.1875</v>
      </c>
      <c r="J463" s="139">
        <v>10943.92</v>
      </c>
      <c r="K463" s="140">
        <v>13529.19</v>
      </c>
    </row>
    <row r="464" spans="1:11" ht="26.4" customHeight="1">
      <c r="A464" t="s">
        <v>2136</v>
      </c>
      <c r="B464" s="134" t="s">
        <v>1096</v>
      </c>
      <c r="C464" s="135" t="s">
        <v>1097</v>
      </c>
      <c r="D464" s="136" t="s">
        <v>1098</v>
      </c>
      <c r="E464" s="135" t="s">
        <v>14</v>
      </c>
      <c r="F464" s="135" t="s">
        <v>22</v>
      </c>
      <c r="G464" s="137">
        <v>2</v>
      </c>
      <c r="H464" s="138">
        <v>7824.28</v>
      </c>
      <c r="I464" s="138">
        <f t="shared" ca="1" si="28"/>
        <v>9780.35</v>
      </c>
      <c r="J464" s="139">
        <v>15681.36</v>
      </c>
      <c r="K464" s="140">
        <f t="shared" ca="1" si="29"/>
        <v>19560.7</v>
      </c>
    </row>
    <row r="465" spans="1:11" ht="25.8" customHeight="1">
      <c r="A465" t="s">
        <v>2137</v>
      </c>
      <c r="B465" s="134" t="s">
        <v>1099</v>
      </c>
      <c r="C465" s="135" t="s">
        <v>1100</v>
      </c>
      <c r="D465" s="136" t="s">
        <v>1101</v>
      </c>
      <c r="E465" s="135" t="s">
        <v>14</v>
      </c>
      <c r="F465" s="135" t="s">
        <v>22</v>
      </c>
      <c r="G465" s="137">
        <v>1</v>
      </c>
      <c r="H465" s="138">
        <v>7814.91</v>
      </c>
      <c r="I465" s="138">
        <f t="shared" ca="1" si="28"/>
        <v>9768.6375000000007</v>
      </c>
      <c r="J465" s="139">
        <v>7899.47</v>
      </c>
      <c r="K465" s="140">
        <v>9768.64</v>
      </c>
    </row>
    <row r="466" spans="1:11">
      <c r="A466" t="s">
        <v>2138</v>
      </c>
      <c r="B466" s="131" t="s">
        <v>1102</v>
      </c>
      <c r="C466" s="154" t="s">
        <v>1103</v>
      </c>
      <c r="D466" s="154"/>
      <c r="E466" s="154"/>
      <c r="F466" s="154"/>
      <c r="G466" s="154"/>
      <c r="H466" s="154"/>
      <c r="I466" s="131"/>
      <c r="J466" s="132">
        <v>21114.977999999999</v>
      </c>
      <c r="K466" s="133">
        <f ca="1">SUM(K467:K483)</f>
        <v>26158.799999999999</v>
      </c>
    </row>
    <row r="467" spans="1:11" ht="22.2" customHeight="1">
      <c r="A467" t="s">
        <v>2139</v>
      </c>
      <c r="B467" s="134" t="s">
        <v>1104</v>
      </c>
      <c r="C467" s="135" t="s">
        <v>1021</v>
      </c>
      <c r="D467" s="136" t="s">
        <v>1022</v>
      </c>
      <c r="E467" s="135" t="s">
        <v>14</v>
      </c>
      <c r="F467" s="135" t="s">
        <v>30</v>
      </c>
      <c r="G467" s="137">
        <v>245.8</v>
      </c>
      <c r="H467" s="138">
        <v>25.51</v>
      </c>
      <c r="I467" s="138">
        <f t="shared" ca="1" si="28"/>
        <v>31.887500000000003</v>
      </c>
      <c r="J467" s="139">
        <v>6361.3040000000001</v>
      </c>
      <c r="K467" s="140">
        <v>7838.56</v>
      </c>
    </row>
    <row r="468" spans="1:11" ht="28.2" customHeight="1">
      <c r="A468" t="s">
        <v>2140</v>
      </c>
      <c r="B468" s="134" t="s">
        <v>1105</v>
      </c>
      <c r="C468" s="135" t="s">
        <v>1106</v>
      </c>
      <c r="D468" s="136" t="s">
        <v>1107</v>
      </c>
      <c r="E468" s="135" t="s">
        <v>14</v>
      </c>
      <c r="F468" s="135" t="s">
        <v>30</v>
      </c>
      <c r="G468" s="137">
        <v>83.8</v>
      </c>
      <c r="H468" s="138">
        <v>35.880000000000003</v>
      </c>
      <c r="I468" s="138">
        <f t="shared" ca="1" si="28"/>
        <v>44.85</v>
      </c>
      <c r="J468" s="139">
        <v>3036.0740000000001</v>
      </c>
      <c r="K468" s="140">
        <v>3758.43</v>
      </c>
    </row>
    <row r="469" spans="1:11" ht="26.4" customHeight="1">
      <c r="A469" t="s">
        <v>2141</v>
      </c>
      <c r="B469" s="134" t="s">
        <v>1108</v>
      </c>
      <c r="C469" s="135" t="s">
        <v>1036</v>
      </c>
      <c r="D469" s="136" t="s">
        <v>1037</v>
      </c>
      <c r="E469" s="135" t="s">
        <v>14</v>
      </c>
      <c r="F469" s="135" t="s">
        <v>22</v>
      </c>
      <c r="G469" s="137">
        <v>22</v>
      </c>
      <c r="H469" s="138">
        <v>14.58</v>
      </c>
      <c r="I469" s="138">
        <f t="shared" ca="1" si="28"/>
        <v>18.225000000000001</v>
      </c>
      <c r="J469" s="139">
        <v>324.27999999999997</v>
      </c>
      <c r="K469" s="140">
        <v>401.06</v>
      </c>
    </row>
    <row r="470" spans="1:11" ht="27" customHeight="1">
      <c r="A470" t="s">
        <v>2142</v>
      </c>
      <c r="B470" s="134" t="s">
        <v>1109</v>
      </c>
      <c r="C470" s="135" t="s">
        <v>1039</v>
      </c>
      <c r="D470" s="136" t="s">
        <v>1040</v>
      </c>
      <c r="E470" s="135" t="s">
        <v>14</v>
      </c>
      <c r="F470" s="135" t="s">
        <v>22</v>
      </c>
      <c r="G470" s="137">
        <v>6</v>
      </c>
      <c r="H470" s="138">
        <v>21.83</v>
      </c>
      <c r="I470" s="138">
        <f t="shared" ca="1" si="28"/>
        <v>27.287499999999998</v>
      </c>
      <c r="J470" s="139">
        <v>132.12</v>
      </c>
      <c r="K470" s="140">
        <v>163.74</v>
      </c>
    </row>
    <row r="471" spans="1:11" ht="29.4" customHeight="1">
      <c r="A471" t="s">
        <v>2143</v>
      </c>
      <c r="B471" s="134" t="s">
        <v>1110</v>
      </c>
      <c r="C471" s="135" t="s">
        <v>1048</v>
      </c>
      <c r="D471" s="136" t="s">
        <v>1049</v>
      </c>
      <c r="E471" s="135" t="s">
        <v>14</v>
      </c>
      <c r="F471" s="135" t="s">
        <v>22</v>
      </c>
      <c r="G471" s="137">
        <v>132</v>
      </c>
      <c r="H471" s="138">
        <v>13.92</v>
      </c>
      <c r="I471" s="138">
        <f t="shared" ca="1" si="28"/>
        <v>17.399999999999999</v>
      </c>
      <c r="J471" s="139">
        <v>1858.56</v>
      </c>
      <c r="K471" s="140">
        <v>2296.8000000000002</v>
      </c>
    </row>
    <row r="472" spans="1:11" ht="28.8" customHeight="1">
      <c r="A472" t="s">
        <v>2144</v>
      </c>
      <c r="B472" s="134" t="s">
        <v>1111</v>
      </c>
      <c r="C472" s="135" t="s">
        <v>1112</v>
      </c>
      <c r="D472" s="136" t="s">
        <v>1113</v>
      </c>
      <c r="E472" s="135" t="s">
        <v>14</v>
      </c>
      <c r="F472" s="135" t="s">
        <v>22</v>
      </c>
      <c r="G472" s="137">
        <v>20</v>
      </c>
      <c r="H472" s="138">
        <v>20.94</v>
      </c>
      <c r="I472" s="138">
        <f t="shared" ca="1" si="28"/>
        <v>26.175000000000001</v>
      </c>
      <c r="J472" s="139">
        <v>422.6</v>
      </c>
      <c r="K472" s="140">
        <v>523.6</v>
      </c>
    </row>
    <row r="473" spans="1:11" ht="28.8" customHeight="1">
      <c r="A473" t="s">
        <v>2145</v>
      </c>
      <c r="B473" s="134" t="s">
        <v>1114</v>
      </c>
      <c r="C473" s="135" t="s">
        <v>1115</v>
      </c>
      <c r="D473" s="136" t="s">
        <v>1116</v>
      </c>
      <c r="E473" s="135" t="s">
        <v>26</v>
      </c>
      <c r="F473" s="135" t="s">
        <v>22</v>
      </c>
      <c r="G473" s="137">
        <v>3</v>
      </c>
      <c r="H473" s="138">
        <v>31.44</v>
      </c>
      <c r="I473" s="138">
        <f t="shared" ca="1" si="28"/>
        <v>39.300000000000004</v>
      </c>
      <c r="J473" s="139">
        <v>94.32</v>
      </c>
      <c r="K473" s="140">
        <v>117.9</v>
      </c>
    </row>
    <row r="474" spans="1:11" ht="25.8" customHeight="1">
      <c r="A474" t="s">
        <v>2146</v>
      </c>
      <c r="B474" s="134" t="s">
        <v>1117</v>
      </c>
      <c r="C474" s="135" t="s">
        <v>1118</v>
      </c>
      <c r="D474" s="136" t="s">
        <v>1119</v>
      </c>
      <c r="E474" s="135" t="s">
        <v>26</v>
      </c>
      <c r="F474" s="135" t="s">
        <v>22</v>
      </c>
      <c r="G474" s="137">
        <v>2</v>
      </c>
      <c r="H474" s="138">
        <v>55.59</v>
      </c>
      <c r="I474" s="138">
        <f t="shared" ca="1" si="28"/>
        <v>69.487500000000011</v>
      </c>
      <c r="J474" s="139">
        <v>111.18</v>
      </c>
      <c r="K474" s="140">
        <f t="shared" ca="1" si="29"/>
        <v>138.97500000000002</v>
      </c>
    </row>
    <row r="475" spans="1:11" ht="28.8" customHeight="1">
      <c r="A475" t="s">
        <v>2147</v>
      </c>
      <c r="B475" s="134" t="s">
        <v>1120</v>
      </c>
      <c r="C475" s="135" t="s">
        <v>1121</v>
      </c>
      <c r="D475" s="136" t="s">
        <v>1122</v>
      </c>
      <c r="E475" s="135" t="s">
        <v>14</v>
      </c>
      <c r="F475" s="135" t="s">
        <v>22</v>
      </c>
      <c r="G475" s="137">
        <v>1</v>
      </c>
      <c r="H475" s="138">
        <v>55.3</v>
      </c>
      <c r="I475" s="138">
        <f t="shared" ca="1" si="28"/>
        <v>69.125</v>
      </c>
      <c r="J475" s="139">
        <v>55.58</v>
      </c>
      <c r="K475" s="140">
        <f t="shared" ca="1" si="29"/>
        <v>69.125</v>
      </c>
    </row>
    <row r="476" spans="1:11" ht="26.4" customHeight="1">
      <c r="A476" t="s">
        <v>2148</v>
      </c>
      <c r="B476" s="134" t="s">
        <v>1123</v>
      </c>
      <c r="C476" s="135" t="s">
        <v>1124</v>
      </c>
      <c r="D476" s="136" t="s">
        <v>1125</v>
      </c>
      <c r="E476" s="135" t="s">
        <v>14</v>
      </c>
      <c r="F476" s="135" t="s">
        <v>22</v>
      </c>
      <c r="G476" s="137">
        <v>3</v>
      </c>
      <c r="H476" s="138">
        <v>14.11</v>
      </c>
      <c r="I476" s="138">
        <f t="shared" ca="1" si="28"/>
        <v>17.637499999999999</v>
      </c>
      <c r="J476" s="139">
        <v>42.69</v>
      </c>
      <c r="K476" s="140">
        <v>52.92</v>
      </c>
    </row>
    <row r="477" spans="1:11" ht="25.8" customHeight="1">
      <c r="A477" t="s">
        <v>2149</v>
      </c>
      <c r="B477" s="134" t="s">
        <v>1126</v>
      </c>
      <c r="C477" s="135" t="s">
        <v>1076</v>
      </c>
      <c r="D477" s="136" t="s">
        <v>1077</v>
      </c>
      <c r="E477" s="135" t="s">
        <v>14</v>
      </c>
      <c r="F477" s="135" t="s">
        <v>22</v>
      </c>
      <c r="G477" s="137">
        <v>14</v>
      </c>
      <c r="H477" s="138">
        <v>17.3</v>
      </c>
      <c r="I477" s="138">
        <f t="shared" ca="1" si="28"/>
        <v>21.625</v>
      </c>
      <c r="J477" s="139">
        <v>243.18</v>
      </c>
      <c r="K477" s="140">
        <v>302.82</v>
      </c>
    </row>
    <row r="478" spans="1:11" ht="28.2" customHeight="1">
      <c r="A478" t="s">
        <v>2150</v>
      </c>
      <c r="B478" s="134" t="s">
        <v>1127</v>
      </c>
      <c r="C478" s="135" t="s">
        <v>1128</v>
      </c>
      <c r="D478" s="136" t="s">
        <v>1129</v>
      </c>
      <c r="E478" s="135" t="s">
        <v>14</v>
      </c>
      <c r="F478" s="135" t="s">
        <v>22</v>
      </c>
      <c r="G478" s="137">
        <v>4</v>
      </c>
      <c r="H478" s="138">
        <v>9.9600000000000009</v>
      </c>
      <c r="I478" s="138">
        <f t="shared" ca="1" si="28"/>
        <v>12.450000000000001</v>
      </c>
      <c r="J478" s="139">
        <v>39.880000000000003</v>
      </c>
      <c r="K478" s="140">
        <f t="shared" ca="1" si="29"/>
        <v>49.800000000000004</v>
      </c>
    </row>
    <row r="479" spans="1:11" ht="31.8" customHeight="1">
      <c r="A479" t="s">
        <v>2151</v>
      </c>
      <c r="B479" s="134" t="s">
        <v>1130</v>
      </c>
      <c r="C479" s="135" t="s">
        <v>1131</v>
      </c>
      <c r="D479" s="136" t="s">
        <v>1132</v>
      </c>
      <c r="E479" s="135" t="s">
        <v>14</v>
      </c>
      <c r="F479" s="135" t="s">
        <v>22</v>
      </c>
      <c r="G479" s="137">
        <v>8</v>
      </c>
      <c r="H479" s="138">
        <v>20.62</v>
      </c>
      <c r="I479" s="138">
        <f t="shared" ca="1" si="28"/>
        <v>25.775000000000002</v>
      </c>
      <c r="J479" s="139">
        <v>165.36</v>
      </c>
      <c r="K479" s="140">
        <v>206.24</v>
      </c>
    </row>
    <row r="480" spans="1:11" ht="28.8" customHeight="1">
      <c r="A480" t="s">
        <v>2152</v>
      </c>
      <c r="B480" s="134" t="s">
        <v>1133</v>
      </c>
      <c r="C480" s="135" t="s">
        <v>1134</v>
      </c>
      <c r="D480" s="136" t="s">
        <v>1135</v>
      </c>
      <c r="E480" s="135" t="s">
        <v>26</v>
      </c>
      <c r="F480" s="135" t="s">
        <v>22</v>
      </c>
      <c r="G480" s="137">
        <v>13</v>
      </c>
      <c r="H480" s="138">
        <v>76.58</v>
      </c>
      <c r="I480" s="138">
        <f t="shared" ca="1" si="28"/>
        <v>95.724999999999994</v>
      </c>
      <c r="J480" s="139">
        <v>995.54</v>
      </c>
      <c r="K480" s="140">
        <v>1244.49</v>
      </c>
    </row>
    <row r="481" spans="1:11" ht="31.8" customHeight="1">
      <c r="A481" t="s">
        <v>2153</v>
      </c>
      <c r="B481" s="134" t="s">
        <v>1136</v>
      </c>
      <c r="C481" s="135" t="s">
        <v>1137</v>
      </c>
      <c r="D481" s="136" t="s">
        <v>1138</v>
      </c>
      <c r="E481" s="135" t="s">
        <v>14</v>
      </c>
      <c r="F481" s="135" t="s">
        <v>22</v>
      </c>
      <c r="G481" s="137">
        <v>86</v>
      </c>
      <c r="H481" s="138">
        <v>76.19</v>
      </c>
      <c r="I481" s="138">
        <f t="shared" ca="1" si="28"/>
        <v>95.237499999999997</v>
      </c>
      <c r="J481" s="139">
        <v>6584.16</v>
      </c>
      <c r="K481" s="140">
        <v>8190.64</v>
      </c>
    </row>
    <row r="482" spans="1:11" ht="27.6" customHeight="1">
      <c r="A482" t="s">
        <v>2154</v>
      </c>
      <c r="B482" s="134" t="s">
        <v>1139</v>
      </c>
      <c r="C482" s="135" t="s">
        <v>1140</v>
      </c>
      <c r="D482" s="136" t="s">
        <v>1141</v>
      </c>
      <c r="E482" s="135" t="s">
        <v>14</v>
      </c>
      <c r="F482" s="135" t="s">
        <v>22</v>
      </c>
      <c r="G482" s="137">
        <v>18</v>
      </c>
      <c r="H482" s="138">
        <v>22.44</v>
      </c>
      <c r="I482" s="138">
        <f t="shared" ca="1" si="28"/>
        <v>28.05</v>
      </c>
      <c r="J482" s="139">
        <v>407.7</v>
      </c>
      <c r="K482" s="140">
        <f t="shared" ca="1" si="29"/>
        <v>504.90000000000003</v>
      </c>
    </row>
    <row r="483" spans="1:11" ht="26.4" customHeight="1">
      <c r="A483" t="s">
        <v>2155</v>
      </c>
      <c r="B483" s="134" t="s">
        <v>1142</v>
      </c>
      <c r="C483" s="135" t="s">
        <v>1143</v>
      </c>
      <c r="D483" s="136" t="s">
        <v>1144</v>
      </c>
      <c r="E483" s="135" t="s">
        <v>14</v>
      </c>
      <c r="F483" s="135" t="s">
        <v>22</v>
      </c>
      <c r="G483" s="137">
        <v>5</v>
      </c>
      <c r="H483" s="138">
        <v>47.81</v>
      </c>
      <c r="I483" s="138">
        <f t="shared" ca="1" si="28"/>
        <v>59.762500000000003</v>
      </c>
      <c r="J483" s="139">
        <v>240.45</v>
      </c>
      <c r="K483" s="140">
        <v>298.8</v>
      </c>
    </row>
    <row r="484" spans="1:11">
      <c r="A484" t="s">
        <v>2156</v>
      </c>
      <c r="B484" s="131" t="s">
        <v>1145</v>
      </c>
      <c r="C484" s="154" t="s">
        <v>1146</v>
      </c>
      <c r="D484" s="154"/>
      <c r="E484" s="154"/>
      <c r="F484" s="154"/>
      <c r="G484" s="154"/>
      <c r="H484" s="154"/>
      <c r="I484" s="131"/>
      <c r="J484" s="132">
        <v>77010.14</v>
      </c>
      <c r="K484" s="133">
        <f ca="1">SUM(K485:K518)</f>
        <v>96155.862499999988</v>
      </c>
    </row>
    <row r="485" spans="1:11" ht="28.2" customHeight="1">
      <c r="A485" t="s">
        <v>2157</v>
      </c>
      <c r="B485" s="134" t="s">
        <v>1147</v>
      </c>
      <c r="C485" s="135" t="s">
        <v>1148</v>
      </c>
      <c r="D485" s="136" t="s">
        <v>1149</v>
      </c>
      <c r="E485" s="135" t="s">
        <v>14</v>
      </c>
      <c r="F485" s="135" t="s">
        <v>22</v>
      </c>
      <c r="G485" s="137">
        <v>22</v>
      </c>
      <c r="H485" s="138">
        <v>327.7</v>
      </c>
      <c r="I485" s="138">
        <f t="shared" ca="1" si="28"/>
        <v>409.625</v>
      </c>
      <c r="J485" s="139">
        <v>7219.96</v>
      </c>
      <c r="K485" s="140">
        <v>9011.86</v>
      </c>
    </row>
    <row r="486" spans="1:11" ht="25.8" customHeight="1">
      <c r="A486" t="s">
        <v>2158</v>
      </c>
      <c r="B486" s="134" t="s">
        <v>1150</v>
      </c>
      <c r="C486" s="135" t="s">
        <v>1151</v>
      </c>
      <c r="D486" s="136" t="s">
        <v>1152</v>
      </c>
      <c r="E486" s="135" t="s">
        <v>26</v>
      </c>
      <c r="F486" s="135" t="s">
        <v>22</v>
      </c>
      <c r="G486" s="137">
        <v>22</v>
      </c>
      <c r="H486" s="138">
        <v>347.54</v>
      </c>
      <c r="I486" s="138">
        <f t="shared" ca="1" si="28"/>
        <v>434.42500000000001</v>
      </c>
      <c r="J486" s="139">
        <v>7645.88</v>
      </c>
      <c r="K486" s="140">
        <v>9557.4599999999991</v>
      </c>
    </row>
    <row r="487" spans="1:11">
      <c r="A487" t="s">
        <v>2159</v>
      </c>
      <c r="B487" s="134" t="s">
        <v>1153</v>
      </c>
      <c r="C487" s="135" t="s">
        <v>1154</v>
      </c>
      <c r="D487" s="136" t="s">
        <v>1155</v>
      </c>
      <c r="E487" s="135" t="s">
        <v>14</v>
      </c>
      <c r="F487" s="135" t="s">
        <v>22</v>
      </c>
      <c r="G487" s="137">
        <v>22</v>
      </c>
      <c r="H487" s="138">
        <v>43.95</v>
      </c>
      <c r="I487" s="138">
        <f t="shared" ca="1" si="28"/>
        <v>54.9375</v>
      </c>
      <c r="J487" s="139">
        <v>969.54</v>
      </c>
      <c r="K487" s="140">
        <v>1208.68</v>
      </c>
    </row>
    <row r="488" spans="1:11">
      <c r="A488" t="s">
        <v>2160</v>
      </c>
      <c r="B488" s="134" t="s">
        <v>1156</v>
      </c>
      <c r="C488" s="135" t="s">
        <v>1157</v>
      </c>
      <c r="D488" s="136" t="s">
        <v>1158</v>
      </c>
      <c r="E488" s="135" t="s">
        <v>14</v>
      </c>
      <c r="F488" s="135" t="s">
        <v>22</v>
      </c>
      <c r="G488" s="137">
        <v>6</v>
      </c>
      <c r="H488" s="138">
        <v>730.11</v>
      </c>
      <c r="I488" s="138">
        <f t="shared" ca="1" si="28"/>
        <v>912.63750000000005</v>
      </c>
      <c r="J488" s="139">
        <v>4386.72</v>
      </c>
      <c r="K488" s="140">
        <v>5475.84</v>
      </c>
    </row>
    <row r="489" spans="1:11" ht="19.8" customHeight="1">
      <c r="A489" t="s">
        <v>2161</v>
      </c>
      <c r="B489" s="134" t="s">
        <v>1159</v>
      </c>
      <c r="C489" s="135" t="s">
        <v>1160</v>
      </c>
      <c r="D489" s="136" t="s">
        <v>1161</v>
      </c>
      <c r="E489" s="135" t="s">
        <v>26</v>
      </c>
      <c r="F489" s="135" t="s">
        <v>22</v>
      </c>
      <c r="G489" s="137">
        <v>6</v>
      </c>
      <c r="H489" s="138">
        <v>491.93</v>
      </c>
      <c r="I489" s="138">
        <f t="shared" ca="1" si="28"/>
        <v>614.91250000000002</v>
      </c>
      <c r="J489" s="139">
        <v>2951.58</v>
      </c>
      <c r="K489" s="140">
        <v>3689.46</v>
      </c>
    </row>
    <row r="490" spans="1:11" ht="25.8" customHeight="1">
      <c r="A490" t="s">
        <v>2162</v>
      </c>
      <c r="B490" s="134" t="s">
        <v>1162</v>
      </c>
      <c r="C490" s="135" t="s">
        <v>1163</v>
      </c>
      <c r="D490" s="136" t="s">
        <v>1164</v>
      </c>
      <c r="E490" s="135" t="s">
        <v>14</v>
      </c>
      <c r="F490" s="135" t="s">
        <v>22</v>
      </c>
      <c r="G490" s="137">
        <v>27</v>
      </c>
      <c r="H490" s="138">
        <v>247.62</v>
      </c>
      <c r="I490" s="138">
        <f t="shared" ca="1" si="28"/>
        <v>309.52499999999998</v>
      </c>
      <c r="J490" s="139">
        <v>6710.31</v>
      </c>
      <c r="K490" s="140">
        <v>8357.31</v>
      </c>
    </row>
    <row r="491" spans="1:11" ht="25.8" customHeight="1">
      <c r="A491" t="s">
        <v>2163</v>
      </c>
      <c r="B491" s="134" t="s">
        <v>1165</v>
      </c>
      <c r="C491" s="135" t="s">
        <v>1166</v>
      </c>
      <c r="D491" s="136" t="s">
        <v>1167</v>
      </c>
      <c r="E491" s="135" t="s">
        <v>26</v>
      </c>
      <c r="F491" s="135" t="s">
        <v>22</v>
      </c>
      <c r="G491" s="137">
        <v>3</v>
      </c>
      <c r="H491" s="138">
        <v>202.92</v>
      </c>
      <c r="I491" s="138">
        <f t="shared" ca="1" si="28"/>
        <v>253.64999999999998</v>
      </c>
      <c r="J491" s="139">
        <v>608.76</v>
      </c>
      <c r="K491" s="140">
        <v>760.95</v>
      </c>
    </row>
    <row r="492" spans="1:11" ht="25.2" customHeight="1">
      <c r="A492" t="s">
        <v>2164</v>
      </c>
      <c r="B492" s="134" t="s">
        <v>1168</v>
      </c>
      <c r="C492" s="135" t="s">
        <v>1169</v>
      </c>
      <c r="D492" s="136" t="s">
        <v>1170</v>
      </c>
      <c r="E492" s="135" t="s">
        <v>26</v>
      </c>
      <c r="F492" s="135" t="s">
        <v>22</v>
      </c>
      <c r="G492" s="137">
        <v>16</v>
      </c>
      <c r="H492" s="138">
        <v>202.92</v>
      </c>
      <c r="I492" s="138">
        <f t="shared" ca="1" si="28"/>
        <v>253.64999999999998</v>
      </c>
      <c r="J492" s="139">
        <v>3246.72</v>
      </c>
      <c r="K492" s="140">
        <f t="shared" ca="1" si="29"/>
        <v>4058.3999999999996</v>
      </c>
    </row>
    <row r="493" spans="1:11" ht="26.4" customHeight="1">
      <c r="A493" t="s">
        <v>2165</v>
      </c>
      <c r="B493" s="134" t="s">
        <v>1171</v>
      </c>
      <c r="C493" s="135" t="s">
        <v>1172</v>
      </c>
      <c r="D493" s="136" t="s">
        <v>1173</v>
      </c>
      <c r="E493" s="135" t="s">
        <v>26</v>
      </c>
      <c r="F493" s="135" t="s">
        <v>22</v>
      </c>
      <c r="G493" s="137">
        <v>3</v>
      </c>
      <c r="H493" s="138">
        <v>202.92</v>
      </c>
      <c r="I493" s="138">
        <f t="shared" ca="1" si="28"/>
        <v>253.64999999999998</v>
      </c>
      <c r="J493" s="139">
        <v>608.76</v>
      </c>
      <c r="K493" s="140">
        <f t="shared" ca="1" si="29"/>
        <v>760.94999999999993</v>
      </c>
    </row>
    <row r="494" spans="1:11" ht="20.399999999999999">
      <c r="A494" t="s">
        <v>2166</v>
      </c>
      <c r="B494" s="134" t="s">
        <v>1174</v>
      </c>
      <c r="C494" s="135" t="s">
        <v>1175</v>
      </c>
      <c r="D494" s="136" t="s">
        <v>1176</v>
      </c>
      <c r="E494" s="135" t="s">
        <v>26</v>
      </c>
      <c r="F494" s="135" t="s">
        <v>22</v>
      </c>
      <c r="G494" s="137">
        <v>4</v>
      </c>
      <c r="H494" s="138">
        <v>161.88</v>
      </c>
      <c r="I494" s="138">
        <f t="shared" ca="1" si="28"/>
        <v>202.35</v>
      </c>
      <c r="J494" s="139">
        <v>647.52</v>
      </c>
      <c r="K494" s="140">
        <f t="shared" ca="1" si="29"/>
        <v>809.4</v>
      </c>
    </row>
    <row r="495" spans="1:11" ht="20.399999999999999">
      <c r="A495" t="s">
        <v>2167</v>
      </c>
      <c r="B495" s="134" t="s">
        <v>1177</v>
      </c>
      <c r="C495" s="135" t="s">
        <v>1178</v>
      </c>
      <c r="D495" s="136" t="s">
        <v>1179</v>
      </c>
      <c r="E495" s="135" t="s">
        <v>14</v>
      </c>
      <c r="F495" s="135" t="s">
        <v>22</v>
      </c>
      <c r="G495" s="137">
        <v>1</v>
      </c>
      <c r="H495" s="138">
        <v>161.53</v>
      </c>
      <c r="I495" s="138">
        <f t="shared" ca="1" si="28"/>
        <v>201.91249999999999</v>
      </c>
      <c r="J495" s="139">
        <v>161.87</v>
      </c>
      <c r="K495" s="140">
        <f t="shared" ca="1" si="29"/>
        <v>201.91249999999999</v>
      </c>
    </row>
    <row r="496" spans="1:11" ht="20.399999999999999" customHeight="1">
      <c r="A496" t="s">
        <v>2168</v>
      </c>
      <c r="B496" s="134" t="s">
        <v>1180</v>
      </c>
      <c r="C496" s="135" t="s">
        <v>1181</v>
      </c>
      <c r="D496" s="136" t="s">
        <v>1182</v>
      </c>
      <c r="E496" s="135" t="s">
        <v>26</v>
      </c>
      <c r="F496" s="135" t="s">
        <v>22</v>
      </c>
      <c r="G496" s="137">
        <v>4</v>
      </c>
      <c r="H496" s="138">
        <v>579.92999999999995</v>
      </c>
      <c r="I496" s="138">
        <f t="shared" ca="1" si="28"/>
        <v>724.91249999999991</v>
      </c>
      <c r="J496" s="139">
        <v>2319.7199999999998</v>
      </c>
      <c r="K496" s="140">
        <v>2899.64</v>
      </c>
    </row>
    <row r="497" spans="1:11" ht="19.2" customHeight="1">
      <c r="A497" t="s">
        <v>2169</v>
      </c>
      <c r="B497" s="134" t="s">
        <v>1183</v>
      </c>
      <c r="C497" s="135" t="s">
        <v>1184</v>
      </c>
      <c r="D497" s="136" t="s">
        <v>1185</v>
      </c>
      <c r="E497" s="135" t="s">
        <v>26</v>
      </c>
      <c r="F497" s="135" t="s">
        <v>22</v>
      </c>
      <c r="G497" s="137">
        <v>2</v>
      </c>
      <c r="H497" s="138">
        <v>778.17</v>
      </c>
      <c r="I497" s="138">
        <f t="shared" ca="1" si="28"/>
        <v>972.71249999999998</v>
      </c>
      <c r="J497" s="139">
        <v>1556.34</v>
      </c>
      <c r="K497" s="140">
        <v>1945.42</v>
      </c>
    </row>
    <row r="498" spans="1:11" ht="23.4" customHeight="1">
      <c r="A498" t="s">
        <v>2170</v>
      </c>
      <c r="B498" s="134" t="s">
        <v>1186</v>
      </c>
      <c r="C498" s="135" t="s">
        <v>1187</v>
      </c>
      <c r="D498" s="136" t="s">
        <v>1188</v>
      </c>
      <c r="E498" s="135" t="s">
        <v>14</v>
      </c>
      <c r="F498" s="135" t="s">
        <v>22</v>
      </c>
      <c r="G498" s="137">
        <v>12</v>
      </c>
      <c r="H498" s="138">
        <v>94.53</v>
      </c>
      <c r="I498" s="138">
        <f t="shared" ca="1" si="28"/>
        <v>118.16249999999999</v>
      </c>
      <c r="J498" s="139">
        <v>1138.56</v>
      </c>
      <c r="K498" s="140">
        <v>1417.92</v>
      </c>
    </row>
    <row r="499" spans="1:11">
      <c r="A499" t="s">
        <v>2171</v>
      </c>
      <c r="B499" s="134" t="s">
        <v>1189</v>
      </c>
      <c r="C499" s="135" t="s">
        <v>1190</v>
      </c>
      <c r="D499" s="136" t="s">
        <v>1191</v>
      </c>
      <c r="E499" s="135" t="s">
        <v>26</v>
      </c>
      <c r="F499" s="135" t="s">
        <v>22</v>
      </c>
      <c r="G499" s="137">
        <v>2</v>
      </c>
      <c r="H499" s="138">
        <v>41.33</v>
      </c>
      <c r="I499" s="138">
        <f t="shared" ca="1" si="28"/>
        <v>51.662499999999994</v>
      </c>
      <c r="J499" s="139">
        <v>82.66</v>
      </c>
      <c r="K499" s="140">
        <v>103.32</v>
      </c>
    </row>
    <row r="500" spans="1:11">
      <c r="A500" t="s">
        <v>2172</v>
      </c>
      <c r="B500" s="134" t="s">
        <v>1192</v>
      </c>
      <c r="C500" s="135" t="s">
        <v>1193</v>
      </c>
      <c r="D500" s="136" t="s">
        <v>1194</v>
      </c>
      <c r="E500" s="135" t="s">
        <v>26</v>
      </c>
      <c r="F500" s="135" t="s">
        <v>22</v>
      </c>
      <c r="G500" s="137">
        <v>8</v>
      </c>
      <c r="H500" s="138">
        <v>41.06</v>
      </c>
      <c r="I500" s="138">
        <f t="shared" ref="I500:I528" ca="1" si="30">(H500*J$5)+H500</f>
        <v>51.325000000000003</v>
      </c>
      <c r="J500" s="139">
        <v>328.48</v>
      </c>
      <c r="K500" s="140">
        <v>410.64</v>
      </c>
    </row>
    <row r="501" spans="1:11">
      <c r="A501" t="s">
        <v>2173</v>
      </c>
      <c r="B501" s="134" t="s">
        <v>1195</v>
      </c>
      <c r="C501" s="135" t="s">
        <v>1196</v>
      </c>
      <c r="D501" s="136" t="s">
        <v>1197</v>
      </c>
      <c r="E501" s="135" t="s">
        <v>26</v>
      </c>
      <c r="F501" s="135" t="s">
        <v>22</v>
      </c>
      <c r="G501" s="137">
        <v>8</v>
      </c>
      <c r="H501" s="138">
        <v>198.82</v>
      </c>
      <c r="I501" s="138">
        <f t="shared" ca="1" si="30"/>
        <v>248.52499999999998</v>
      </c>
      <c r="J501" s="139">
        <v>1590.56</v>
      </c>
      <c r="K501" s="140">
        <v>1988.24</v>
      </c>
    </row>
    <row r="502" spans="1:11">
      <c r="A502" t="s">
        <v>2174</v>
      </c>
      <c r="B502" s="134" t="s">
        <v>1198</v>
      </c>
      <c r="C502" s="135" t="s">
        <v>1199</v>
      </c>
      <c r="D502" s="136" t="s">
        <v>1200</v>
      </c>
      <c r="E502" s="135" t="s">
        <v>26</v>
      </c>
      <c r="F502" s="135" t="s">
        <v>22</v>
      </c>
      <c r="G502" s="137">
        <v>2</v>
      </c>
      <c r="H502" s="138">
        <v>195.49</v>
      </c>
      <c r="I502" s="138">
        <f t="shared" ca="1" si="30"/>
        <v>244.36250000000001</v>
      </c>
      <c r="J502" s="139">
        <v>390.98</v>
      </c>
      <c r="K502" s="140">
        <v>488.72</v>
      </c>
    </row>
    <row r="503" spans="1:11">
      <c r="A503" t="s">
        <v>2175</v>
      </c>
      <c r="B503" s="134" t="s">
        <v>1201</v>
      </c>
      <c r="C503" s="135" t="s">
        <v>1202</v>
      </c>
      <c r="D503" s="136" t="s">
        <v>1203</v>
      </c>
      <c r="E503" s="135" t="s">
        <v>26</v>
      </c>
      <c r="F503" s="135" t="s">
        <v>22</v>
      </c>
      <c r="G503" s="137">
        <v>21</v>
      </c>
      <c r="H503" s="138">
        <v>152.82</v>
      </c>
      <c r="I503" s="138">
        <f t="shared" ca="1" si="30"/>
        <v>191.02499999999998</v>
      </c>
      <c r="J503" s="139">
        <v>3209.22</v>
      </c>
      <c r="K503" s="140">
        <v>4011.63</v>
      </c>
    </row>
    <row r="504" spans="1:11">
      <c r="A504" t="s">
        <v>2176</v>
      </c>
      <c r="B504" s="134" t="s">
        <v>1204</v>
      </c>
      <c r="C504" s="135" t="s">
        <v>1205</v>
      </c>
      <c r="D504" s="136" t="s">
        <v>1206</v>
      </c>
      <c r="E504" s="135" t="s">
        <v>26</v>
      </c>
      <c r="F504" s="135" t="s">
        <v>22</v>
      </c>
      <c r="G504" s="137">
        <v>3</v>
      </c>
      <c r="H504" s="138">
        <v>136.44999999999999</v>
      </c>
      <c r="I504" s="138">
        <f t="shared" ca="1" si="30"/>
        <v>170.5625</v>
      </c>
      <c r="J504" s="139">
        <v>409.35</v>
      </c>
      <c r="K504" s="140">
        <v>511.68</v>
      </c>
    </row>
    <row r="505" spans="1:11" ht="31.2" customHeight="1">
      <c r="A505" t="s">
        <v>2177</v>
      </c>
      <c r="B505" s="134" t="s">
        <v>1207</v>
      </c>
      <c r="C505" s="135" t="s">
        <v>1208</v>
      </c>
      <c r="D505" s="136" t="s">
        <v>1209</v>
      </c>
      <c r="E505" s="135" t="s">
        <v>26</v>
      </c>
      <c r="F505" s="135" t="s">
        <v>22</v>
      </c>
      <c r="G505" s="137">
        <v>28</v>
      </c>
      <c r="H505" s="138">
        <v>152.82</v>
      </c>
      <c r="I505" s="138">
        <f t="shared" ca="1" si="30"/>
        <v>191.02499999999998</v>
      </c>
      <c r="J505" s="139">
        <v>4278.96</v>
      </c>
      <c r="K505" s="140">
        <v>5348.84</v>
      </c>
    </row>
    <row r="506" spans="1:11" ht="26.4" customHeight="1">
      <c r="A506" t="s">
        <v>2178</v>
      </c>
      <c r="B506" s="134" t="s">
        <v>1210</v>
      </c>
      <c r="C506" s="135" t="s">
        <v>1211</v>
      </c>
      <c r="D506" s="136" t="s">
        <v>1212</v>
      </c>
      <c r="E506" s="135" t="s">
        <v>26</v>
      </c>
      <c r="F506" s="135" t="s">
        <v>22</v>
      </c>
      <c r="G506" s="137">
        <v>6</v>
      </c>
      <c r="H506" s="138">
        <v>366.47</v>
      </c>
      <c r="I506" s="138">
        <f t="shared" ca="1" si="30"/>
        <v>458.08750000000003</v>
      </c>
      <c r="J506" s="139">
        <v>2198.8200000000002</v>
      </c>
      <c r="K506" s="140">
        <v>2748.54</v>
      </c>
    </row>
    <row r="507" spans="1:11" ht="27" customHeight="1">
      <c r="A507" t="s">
        <v>2179</v>
      </c>
      <c r="B507" s="134" t="s">
        <v>1213</v>
      </c>
      <c r="C507" s="135" t="s">
        <v>1214</v>
      </c>
      <c r="D507" s="136" t="s">
        <v>1215</v>
      </c>
      <c r="E507" s="135" t="s">
        <v>14</v>
      </c>
      <c r="F507" s="135" t="s">
        <v>22</v>
      </c>
      <c r="G507" s="137">
        <v>26</v>
      </c>
      <c r="H507" s="138">
        <v>49.74</v>
      </c>
      <c r="I507" s="138">
        <f t="shared" ca="1" si="30"/>
        <v>62.175000000000004</v>
      </c>
      <c r="J507" s="139">
        <v>1299.74</v>
      </c>
      <c r="K507" s="140">
        <v>1616.68</v>
      </c>
    </row>
    <row r="508" spans="1:11">
      <c r="A508" t="s">
        <v>2180</v>
      </c>
      <c r="B508" s="134" t="s">
        <v>1216</v>
      </c>
      <c r="C508" s="135" t="s">
        <v>1217</v>
      </c>
      <c r="D508" s="136" t="s">
        <v>1218</v>
      </c>
      <c r="E508" s="135" t="s">
        <v>26</v>
      </c>
      <c r="F508" s="135" t="s">
        <v>22</v>
      </c>
      <c r="G508" s="137">
        <v>12</v>
      </c>
      <c r="H508" s="138">
        <v>65.540000000000006</v>
      </c>
      <c r="I508" s="138">
        <f t="shared" ca="1" si="30"/>
        <v>81.925000000000011</v>
      </c>
      <c r="J508" s="139">
        <v>786.48</v>
      </c>
      <c r="K508" s="140">
        <v>983.16</v>
      </c>
    </row>
    <row r="509" spans="1:11">
      <c r="A509" t="s">
        <v>2181</v>
      </c>
      <c r="B509" s="134" t="s">
        <v>1219</v>
      </c>
      <c r="C509" s="135" t="s">
        <v>1220</v>
      </c>
      <c r="D509" s="136" t="s">
        <v>1221</v>
      </c>
      <c r="E509" s="135" t="s">
        <v>26</v>
      </c>
      <c r="F509" s="135" t="s">
        <v>22</v>
      </c>
      <c r="G509" s="137">
        <v>14</v>
      </c>
      <c r="H509" s="138">
        <v>44.86</v>
      </c>
      <c r="I509" s="138">
        <f t="shared" ca="1" si="30"/>
        <v>56.075000000000003</v>
      </c>
      <c r="J509" s="139">
        <v>628.04</v>
      </c>
      <c r="K509" s="140">
        <v>785.12</v>
      </c>
    </row>
    <row r="510" spans="1:11" ht="28.2" customHeight="1">
      <c r="A510" t="s">
        <v>2182</v>
      </c>
      <c r="B510" s="134" t="s">
        <v>1222</v>
      </c>
      <c r="C510" s="135" t="s">
        <v>1223</v>
      </c>
      <c r="D510" s="136" t="s">
        <v>1224</v>
      </c>
      <c r="E510" s="135" t="s">
        <v>14</v>
      </c>
      <c r="F510" s="135" t="s">
        <v>22</v>
      </c>
      <c r="G510" s="137">
        <v>2</v>
      </c>
      <c r="H510" s="138">
        <v>82.54</v>
      </c>
      <c r="I510" s="138">
        <f t="shared" ca="1" si="30"/>
        <v>103.17500000000001</v>
      </c>
      <c r="J510" s="139">
        <v>165.34</v>
      </c>
      <c r="K510" s="140">
        <v>206.36</v>
      </c>
    </row>
    <row r="511" spans="1:11" ht="20.399999999999999">
      <c r="A511" t="s">
        <v>2183</v>
      </c>
      <c r="B511" s="134" t="s">
        <v>1225</v>
      </c>
      <c r="C511" s="135" t="s">
        <v>1226</v>
      </c>
      <c r="D511" s="136" t="s">
        <v>1227</v>
      </c>
      <c r="E511" s="135" t="s">
        <v>14</v>
      </c>
      <c r="F511" s="135" t="s">
        <v>22</v>
      </c>
      <c r="G511" s="137">
        <v>5</v>
      </c>
      <c r="H511" s="138">
        <v>89.11</v>
      </c>
      <c r="I511" s="138">
        <f t="shared" ca="1" si="30"/>
        <v>111.3875</v>
      </c>
      <c r="J511" s="139">
        <v>446.2</v>
      </c>
      <c r="K511" s="140">
        <v>556.95000000000005</v>
      </c>
    </row>
    <row r="512" spans="1:11">
      <c r="A512" t="s">
        <v>2184</v>
      </c>
      <c r="B512" s="134" t="s">
        <v>1228</v>
      </c>
      <c r="C512" s="135" t="s">
        <v>1229</v>
      </c>
      <c r="D512" s="136" t="s">
        <v>1230</v>
      </c>
      <c r="E512" s="135" t="s">
        <v>14</v>
      </c>
      <c r="F512" s="135" t="s">
        <v>22</v>
      </c>
      <c r="G512" s="137">
        <v>28</v>
      </c>
      <c r="H512" s="138">
        <v>12.57</v>
      </c>
      <c r="I512" s="138">
        <f t="shared" ca="1" si="30"/>
        <v>15.7125</v>
      </c>
      <c r="J512" s="139">
        <v>353.92</v>
      </c>
      <c r="K512" s="140">
        <v>439.88</v>
      </c>
    </row>
    <row r="513" spans="1:11" ht="25.2" customHeight="1">
      <c r="A513" t="s">
        <v>2185</v>
      </c>
      <c r="B513" s="134" t="s">
        <v>1231</v>
      </c>
      <c r="C513" s="135" t="s">
        <v>1232</v>
      </c>
      <c r="D513" s="136" t="s">
        <v>1233</v>
      </c>
      <c r="E513" s="135" t="s">
        <v>14</v>
      </c>
      <c r="F513" s="135" t="s">
        <v>22</v>
      </c>
      <c r="G513" s="137">
        <v>55</v>
      </c>
      <c r="H513" s="138">
        <v>66.239999999999995</v>
      </c>
      <c r="I513" s="138">
        <f t="shared" ca="1" si="30"/>
        <v>82.8</v>
      </c>
      <c r="J513" s="139">
        <v>3650.35</v>
      </c>
      <c r="K513" s="140">
        <v>4554</v>
      </c>
    </row>
    <row r="514" spans="1:11" ht="25.2" customHeight="1">
      <c r="A514" t="s">
        <v>2186</v>
      </c>
      <c r="B514" s="134" t="s">
        <v>1234</v>
      </c>
      <c r="C514" s="135" t="s">
        <v>1235</v>
      </c>
      <c r="D514" s="136" t="s">
        <v>1236</v>
      </c>
      <c r="E514" s="135" t="s">
        <v>14</v>
      </c>
      <c r="F514" s="135" t="s">
        <v>22</v>
      </c>
      <c r="G514" s="137">
        <v>12</v>
      </c>
      <c r="H514" s="138">
        <v>387.24</v>
      </c>
      <c r="I514" s="138">
        <f t="shared" ca="1" si="30"/>
        <v>484.05</v>
      </c>
      <c r="J514" s="139">
        <v>4656</v>
      </c>
      <c r="K514" s="140">
        <v>5808.6</v>
      </c>
    </row>
    <row r="515" spans="1:11" ht="26.4" customHeight="1">
      <c r="A515" t="s">
        <v>2187</v>
      </c>
      <c r="B515" s="134" t="s">
        <v>1237</v>
      </c>
      <c r="C515" s="135" t="s">
        <v>1238</v>
      </c>
      <c r="D515" s="136" t="s">
        <v>1239</v>
      </c>
      <c r="E515" s="135" t="s">
        <v>14</v>
      </c>
      <c r="F515" s="135" t="s">
        <v>22</v>
      </c>
      <c r="G515" s="137">
        <v>12</v>
      </c>
      <c r="H515" s="138">
        <v>373.57</v>
      </c>
      <c r="I515" s="138">
        <f t="shared" ca="1" si="30"/>
        <v>466.96249999999998</v>
      </c>
      <c r="J515" s="139">
        <v>4491.96</v>
      </c>
      <c r="K515" s="140">
        <v>5603.52</v>
      </c>
    </row>
    <row r="516" spans="1:11" ht="27" customHeight="1">
      <c r="A516" t="s">
        <v>2188</v>
      </c>
      <c r="B516" s="134" t="s">
        <v>1240</v>
      </c>
      <c r="C516" s="135" t="s">
        <v>1241</v>
      </c>
      <c r="D516" s="136" t="s">
        <v>1242</v>
      </c>
      <c r="E516" s="135" t="s">
        <v>26</v>
      </c>
      <c r="F516" s="135" t="s">
        <v>22</v>
      </c>
      <c r="G516" s="137">
        <v>12</v>
      </c>
      <c r="H516" s="138">
        <v>353.79</v>
      </c>
      <c r="I516" s="138">
        <f t="shared" ca="1" si="30"/>
        <v>442.23750000000001</v>
      </c>
      <c r="J516" s="139">
        <v>4245.4799999999996</v>
      </c>
      <c r="K516" s="140">
        <v>5306.88</v>
      </c>
    </row>
    <row r="517" spans="1:11" ht="26.4" customHeight="1">
      <c r="A517" t="s">
        <v>2189</v>
      </c>
      <c r="B517" s="134" t="s">
        <v>1243</v>
      </c>
      <c r="C517" s="135" t="s">
        <v>1244</v>
      </c>
      <c r="D517" s="136" t="s">
        <v>1245</v>
      </c>
      <c r="E517" s="135" t="s">
        <v>14</v>
      </c>
      <c r="F517" s="135" t="s">
        <v>22</v>
      </c>
      <c r="G517" s="137">
        <v>2</v>
      </c>
      <c r="H517" s="138">
        <v>635.47</v>
      </c>
      <c r="I517" s="138">
        <f t="shared" ca="1" si="30"/>
        <v>794.33750000000009</v>
      </c>
      <c r="J517" s="139">
        <v>1271.94</v>
      </c>
      <c r="K517" s="140">
        <v>1588.68</v>
      </c>
    </row>
    <row r="518" spans="1:11" ht="23.4" customHeight="1">
      <c r="A518" t="s">
        <v>2190</v>
      </c>
      <c r="B518" s="134" t="s">
        <v>1246</v>
      </c>
      <c r="C518" s="135" t="s">
        <v>1247</v>
      </c>
      <c r="D518" s="136" t="s">
        <v>1248</v>
      </c>
      <c r="E518" s="135" t="s">
        <v>14</v>
      </c>
      <c r="F518" s="135" t="s">
        <v>22</v>
      </c>
      <c r="G518" s="137">
        <v>2</v>
      </c>
      <c r="H518" s="138">
        <v>1175.69</v>
      </c>
      <c r="I518" s="138">
        <f t="shared" ca="1" si="30"/>
        <v>1469.6125000000002</v>
      </c>
      <c r="J518" s="139">
        <v>2353.42</v>
      </c>
      <c r="K518" s="140">
        <v>2939.22</v>
      </c>
    </row>
    <row r="519" spans="1:11">
      <c r="A519" t="s">
        <v>2191</v>
      </c>
      <c r="B519" s="131" t="s">
        <v>1249</v>
      </c>
      <c r="C519" s="154" t="s">
        <v>1250</v>
      </c>
      <c r="D519" s="154"/>
      <c r="E519" s="154"/>
      <c r="F519" s="154"/>
      <c r="G519" s="154"/>
      <c r="H519" s="154"/>
      <c r="I519" s="131"/>
      <c r="J519" s="132">
        <v>3322.924</v>
      </c>
      <c r="K519" s="133">
        <f ca="1">SUM(K520:K528)</f>
        <v>4130.47</v>
      </c>
    </row>
    <row r="520" spans="1:11" ht="28.2" customHeight="1">
      <c r="A520" t="s">
        <v>2192</v>
      </c>
      <c r="B520" s="134" t="s">
        <v>1251</v>
      </c>
      <c r="C520" s="135" t="s">
        <v>1252</v>
      </c>
      <c r="D520" s="136" t="s">
        <v>1253</v>
      </c>
      <c r="E520" s="135" t="s">
        <v>14</v>
      </c>
      <c r="F520" s="135" t="s">
        <v>30</v>
      </c>
      <c r="G520" s="137">
        <v>35.200000000000003</v>
      </c>
      <c r="H520" s="138">
        <v>39.99</v>
      </c>
      <c r="I520" s="138">
        <f t="shared" ca="1" si="30"/>
        <v>49.987500000000004</v>
      </c>
      <c r="J520" s="139">
        <v>1419.2639999999999</v>
      </c>
      <c r="K520" s="140">
        <v>1759.65</v>
      </c>
    </row>
    <row r="521" spans="1:11" ht="28.2" customHeight="1">
      <c r="A521" t="s">
        <v>2193</v>
      </c>
      <c r="B521" s="134" t="s">
        <v>1254</v>
      </c>
      <c r="C521" s="135" t="s">
        <v>1255</v>
      </c>
      <c r="D521" s="136" t="s">
        <v>1256</v>
      </c>
      <c r="E521" s="135" t="s">
        <v>14</v>
      </c>
      <c r="F521" s="135" t="s">
        <v>22</v>
      </c>
      <c r="G521" s="137">
        <v>6</v>
      </c>
      <c r="H521" s="138">
        <v>50.71</v>
      </c>
      <c r="I521" s="138">
        <f t="shared" ca="1" si="30"/>
        <v>63.387500000000003</v>
      </c>
      <c r="J521" s="139">
        <v>307.44</v>
      </c>
      <c r="K521" s="140">
        <v>380.34</v>
      </c>
    </row>
    <row r="522" spans="1:11" ht="28.2" customHeight="1">
      <c r="A522" t="s">
        <v>2194</v>
      </c>
      <c r="B522" s="134" t="s">
        <v>1257</v>
      </c>
      <c r="C522" s="135" t="s">
        <v>1258</v>
      </c>
      <c r="D522" s="136" t="s">
        <v>1259</v>
      </c>
      <c r="E522" s="135" t="s">
        <v>14</v>
      </c>
      <c r="F522" s="135" t="s">
        <v>22</v>
      </c>
      <c r="G522" s="137">
        <v>4</v>
      </c>
      <c r="H522" s="138">
        <v>42.13</v>
      </c>
      <c r="I522" s="138">
        <f t="shared" ca="1" si="30"/>
        <v>52.662500000000001</v>
      </c>
      <c r="J522" s="139">
        <v>171.28</v>
      </c>
      <c r="K522" s="140">
        <v>210.64</v>
      </c>
    </row>
    <row r="523" spans="1:11" ht="28.2" customHeight="1">
      <c r="A523" t="s">
        <v>2195</v>
      </c>
      <c r="B523" s="134" t="s">
        <v>1260</v>
      </c>
      <c r="C523" s="135" t="s">
        <v>1261</v>
      </c>
      <c r="D523" s="136" t="s">
        <v>1262</v>
      </c>
      <c r="E523" s="135" t="s">
        <v>14</v>
      </c>
      <c r="F523" s="135" t="s">
        <v>22</v>
      </c>
      <c r="G523" s="137">
        <v>2</v>
      </c>
      <c r="H523" s="138">
        <v>12.92</v>
      </c>
      <c r="I523" s="138">
        <f t="shared" ca="1" si="30"/>
        <v>16.149999999999999</v>
      </c>
      <c r="J523" s="139">
        <v>26.2</v>
      </c>
      <c r="K523" s="140">
        <v>32.299999999999997</v>
      </c>
    </row>
    <row r="524" spans="1:11" ht="16.8" customHeight="1">
      <c r="A524" t="s">
        <v>2196</v>
      </c>
      <c r="B524" s="134" t="s">
        <v>1263</v>
      </c>
      <c r="C524" s="135" t="s">
        <v>1264</v>
      </c>
      <c r="D524" s="136" t="s">
        <v>1265</v>
      </c>
      <c r="E524" s="135" t="s">
        <v>26</v>
      </c>
      <c r="F524" s="135" t="s">
        <v>22</v>
      </c>
      <c r="G524" s="137">
        <v>1</v>
      </c>
      <c r="H524" s="138">
        <v>674.08</v>
      </c>
      <c r="I524" s="138">
        <f t="shared" ca="1" si="30"/>
        <v>842.6</v>
      </c>
      <c r="J524" s="139">
        <v>674.08</v>
      </c>
      <c r="K524" s="140">
        <f t="shared" ref="K524:K528" ca="1" si="31">I524*G524</f>
        <v>842.6</v>
      </c>
    </row>
    <row r="525" spans="1:11">
      <c r="A525" t="s">
        <v>2197</v>
      </c>
      <c r="B525" s="134" t="s">
        <v>1266</v>
      </c>
      <c r="C525" s="135" t="s">
        <v>1267</v>
      </c>
      <c r="D525" s="136" t="s">
        <v>1268</v>
      </c>
      <c r="E525" s="135" t="s">
        <v>14</v>
      </c>
      <c r="F525" s="135" t="s">
        <v>22</v>
      </c>
      <c r="G525" s="137">
        <v>2</v>
      </c>
      <c r="H525" s="138">
        <v>60.93</v>
      </c>
      <c r="I525" s="138">
        <f t="shared" ca="1" si="30"/>
        <v>76.162499999999994</v>
      </c>
      <c r="J525" s="139">
        <v>122.1</v>
      </c>
      <c r="K525" s="140">
        <v>152.32</v>
      </c>
    </row>
    <row r="526" spans="1:11">
      <c r="A526" t="s">
        <v>2198</v>
      </c>
      <c r="B526" s="134" t="s">
        <v>1269</v>
      </c>
      <c r="C526" s="135" t="s">
        <v>1270</v>
      </c>
      <c r="D526" s="136" t="s">
        <v>1271</v>
      </c>
      <c r="E526" s="135" t="s">
        <v>14</v>
      </c>
      <c r="F526" s="135" t="s">
        <v>22</v>
      </c>
      <c r="G526" s="137">
        <v>4</v>
      </c>
      <c r="H526" s="138">
        <v>83.59</v>
      </c>
      <c r="I526" s="138">
        <f t="shared" ca="1" si="30"/>
        <v>104.48750000000001</v>
      </c>
      <c r="J526" s="139">
        <v>334.84</v>
      </c>
      <c r="K526" s="140">
        <v>417.96</v>
      </c>
    </row>
    <row r="527" spans="1:11">
      <c r="A527" t="s">
        <v>2199</v>
      </c>
      <c r="B527" s="134" t="s">
        <v>1272</v>
      </c>
      <c r="C527" s="135" t="s">
        <v>1273</v>
      </c>
      <c r="D527" s="136" t="s">
        <v>1274</v>
      </c>
      <c r="E527" s="135" t="s">
        <v>26</v>
      </c>
      <c r="F527" s="135" t="s">
        <v>22</v>
      </c>
      <c r="G527" s="137">
        <v>2</v>
      </c>
      <c r="H527" s="138">
        <v>14.58</v>
      </c>
      <c r="I527" s="138">
        <f t="shared" ca="1" si="30"/>
        <v>18.225000000000001</v>
      </c>
      <c r="J527" s="139">
        <v>29.16</v>
      </c>
      <c r="K527" s="140">
        <v>36.46</v>
      </c>
    </row>
    <row r="528" spans="1:11" ht="30" customHeight="1">
      <c r="A528" t="s">
        <v>2200</v>
      </c>
      <c r="B528" s="134" t="s">
        <v>1275</v>
      </c>
      <c r="C528" s="135" t="s">
        <v>1276</v>
      </c>
      <c r="D528" s="136" t="s">
        <v>1277</v>
      </c>
      <c r="E528" s="135" t="s">
        <v>26</v>
      </c>
      <c r="F528" s="135" t="s">
        <v>15</v>
      </c>
      <c r="G528" s="137">
        <v>0.48</v>
      </c>
      <c r="H528" s="138">
        <v>497</v>
      </c>
      <c r="I528" s="138">
        <f t="shared" ca="1" si="30"/>
        <v>621.25</v>
      </c>
      <c r="J528" s="139">
        <v>238.56</v>
      </c>
      <c r="K528" s="140">
        <f t="shared" ca="1" si="31"/>
        <v>298.2</v>
      </c>
    </row>
    <row r="529" spans="1:11">
      <c r="A529" t="s">
        <v>2201</v>
      </c>
      <c r="B529" s="131" t="s">
        <v>1278</v>
      </c>
      <c r="C529" s="154" t="s">
        <v>1279</v>
      </c>
      <c r="D529" s="154"/>
      <c r="E529" s="154"/>
      <c r="F529" s="154"/>
      <c r="G529" s="154"/>
      <c r="H529" s="154"/>
      <c r="I529" s="131"/>
      <c r="J529" s="132">
        <v>130805.933</v>
      </c>
      <c r="K529" s="133">
        <f ca="1">SUM(K541,K533,K530,K552,K557)</f>
        <v>163077.64000000001</v>
      </c>
    </row>
    <row r="530" spans="1:11">
      <c r="A530" t="s">
        <v>2202</v>
      </c>
      <c r="B530" s="131" t="s">
        <v>1280</v>
      </c>
      <c r="C530" s="154" t="s">
        <v>1281</v>
      </c>
      <c r="D530" s="154"/>
      <c r="E530" s="154"/>
      <c r="F530" s="154"/>
      <c r="G530" s="154"/>
      <c r="H530" s="154"/>
      <c r="I530" s="131"/>
      <c r="J530" s="132">
        <v>6391.69</v>
      </c>
      <c r="K530" s="133">
        <f>SUM(K531:K532)</f>
        <v>7970.6900000000005</v>
      </c>
    </row>
    <row r="531" spans="1:11" ht="24" customHeight="1">
      <c r="A531" t="s">
        <v>2203</v>
      </c>
      <c r="B531" s="134" t="s">
        <v>1282</v>
      </c>
      <c r="C531" s="135" t="s">
        <v>1283</v>
      </c>
      <c r="D531" s="136" t="s">
        <v>1284</v>
      </c>
      <c r="E531" s="135" t="s">
        <v>14</v>
      </c>
      <c r="F531" s="135" t="s">
        <v>22</v>
      </c>
      <c r="G531" s="137">
        <v>27</v>
      </c>
      <c r="H531" s="138">
        <v>196.09</v>
      </c>
      <c r="I531" s="138">
        <f t="shared" ref="I531:I560" ca="1" si="32">(H531*J$5)+H531</f>
        <v>245.11250000000001</v>
      </c>
      <c r="J531" s="139">
        <v>5308.47</v>
      </c>
      <c r="K531" s="140">
        <v>6617.97</v>
      </c>
    </row>
    <row r="532" spans="1:11" ht="26.4" customHeight="1">
      <c r="A532" t="s">
        <v>2204</v>
      </c>
      <c r="B532" s="134" t="s">
        <v>1285</v>
      </c>
      <c r="C532" s="135" t="s">
        <v>1286</v>
      </c>
      <c r="D532" s="136" t="s">
        <v>1287</v>
      </c>
      <c r="E532" s="135" t="s">
        <v>14</v>
      </c>
      <c r="F532" s="135" t="s">
        <v>22</v>
      </c>
      <c r="G532" s="137">
        <v>2</v>
      </c>
      <c r="H532" s="138">
        <v>541.09</v>
      </c>
      <c r="I532" s="138">
        <f t="shared" ca="1" si="32"/>
        <v>676.36250000000007</v>
      </c>
      <c r="J532" s="139">
        <v>1083.22</v>
      </c>
      <c r="K532" s="140">
        <v>1352.72</v>
      </c>
    </row>
    <row r="533" spans="1:11">
      <c r="A533" t="s">
        <v>2205</v>
      </c>
      <c r="B533" s="131" t="s">
        <v>1288</v>
      </c>
      <c r="C533" s="154" t="s">
        <v>1016</v>
      </c>
      <c r="D533" s="154"/>
      <c r="E533" s="154"/>
      <c r="F533" s="154"/>
      <c r="G533" s="154"/>
      <c r="H533" s="154"/>
      <c r="I533" s="131"/>
      <c r="J533" s="132">
        <v>53216.252999999997</v>
      </c>
      <c r="K533" s="133">
        <f ca="1">SUM(K534:K540)</f>
        <v>66297.180000000008</v>
      </c>
    </row>
    <row r="534" spans="1:11" ht="36.6" customHeight="1">
      <c r="A534" t="s">
        <v>2206</v>
      </c>
      <c r="B534" s="134" t="s">
        <v>1289</v>
      </c>
      <c r="C534" s="135" t="s">
        <v>1290</v>
      </c>
      <c r="D534" s="136" t="s">
        <v>1291</v>
      </c>
      <c r="E534" s="135" t="s">
        <v>14</v>
      </c>
      <c r="F534" s="135" t="s">
        <v>22</v>
      </c>
      <c r="G534" s="137">
        <v>55</v>
      </c>
      <c r="H534" s="138">
        <v>116.17</v>
      </c>
      <c r="I534" s="138">
        <f t="shared" ca="1" si="32"/>
        <v>145.21250000000001</v>
      </c>
      <c r="J534" s="139">
        <v>6422.35</v>
      </c>
      <c r="K534" s="140">
        <v>7986.55</v>
      </c>
    </row>
    <row r="535" spans="1:11" ht="24" customHeight="1">
      <c r="A535" t="s">
        <v>2207</v>
      </c>
      <c r="B535" s="134" t="s">
        <v>1292</v>
      </c>
      <c r="C535" s="135" t="s">
        <v>1293</v>
      </c>
      <c r="D535" s="136" t="s">
        <v>1294</v>
      </c>
      <c r="E535" s="135" t="s">
        <v>14</v>
      </c>
      <c r="F535" s="135" t="s">
        <v>22</v>
      </c>
      <c r="G535" s="137">
        <v>1</v>
      </c>
      <c r="H535" s="138">
        <v>317.16000000000003</v>
      </c>
      <c r="I535" s="138">
        <f t="shared" ca="1" si="32"/>
        <v>396.45000000000005</v>
      </c>
      <c r="J535" s="139">
        <v>318.24</v>
      </c>
      <c r="K535" s="140">
        <f t="shared" ref="K535:K549" ca="1" si="33">I535*G535</f>
        <v>396.45000000000005</v>
      </c>
    </row>
    <row r="536" spans="1:11" ht="28.2" customHeight="1">
      <c r="A536" t="s">
        <v>2208</v>
      </c>
      <c r="B536" s="134" t="s">
        <v>1295</v>
      </c>
      <c r="C536" s="135" t="s">
        <v>1296</v>
      </c>
      <c r="D536" s="136" t="s">
        <v>1297</v>
      </c>
      <c r="E536" s="135" t="s">
        <v>14</v>
      </c>
      <c r="F536" s="135" t="s">
        <v>22</v>
      </c>
      <c r="G536" s="137">
        <v>11</v>
      </c>
      <c r="H536" s="138">
        <v>89.66</v>
      </c>
      <c r="I536" s="138">
        <f t="shared" ca="1" si="32"/>
        <v>112.07499999999999</v>
      </c>
      <c r="J536" s="139">
        <v>995.72</v>
      </c>
      <c r="K536" s="140">
        <v>1232.8800000000001</v>
      </c>
    </row>
    <row r="537" spans="1:11" ht="42" customHeight="1">
      <c r="A537" t="s">
        <v>2209</v>
      </c>
      <c r="B537" s="134" t="s">
        <v>1298</v>
      </c>
      <c r="C537" s="135" t="s">
        <v>1299</v>
      </c>
      <c r="D537" s="136" t="s">
        <v>1300</v>
      </c>
      <c r="E537" s="135" t="s">
        <v>14</v>
      </c>
      <c r="F537" s="135" t="s">
        <v>30</v>
      </c>
      <c r="G537" s="137">
        <v>361.7</v>
      </c>
      <c r="H537" s="138">
        <v>112.11</v>
      </c>
      <c r="I537" s="138">
        <f t="shared" ca="1" si="32"/>
        <v>140.13749999999999</v>
      </c>
      <c r="J537" s="139">
        <v>40651.463000000003</v>
      </c>
      <c r="K537" s="140">
        <v>50688.639999999999</v>
      </c>
    </row>
    <row r="538" spans="1:11" ht="28.2" customHeight="1">
      <c r="A538" t="s">
        <v>2210</v>
      </c>
      <c r="B538" s="134" t="s">
        <v>1301</v>
      </c>
      <c r="C538" s="135" t="s">
        <v>1302</v>
      </c>
      <c r="D538" s="136" t="s">
        <v>1303</v>
      </c>
      <c r="E538" s="135" t="s">
        <v>14</v>
      </c>
      <c r="F538" s="135" t="s">
        <v>22</v>
      </c>
      <c r="G538" s="137">
        <v>17</v>
      </c>
      <c r="H538" s="138">
        <v>197.3</v>
      </c>
      <c r="I538" s="138">
        <f t="shared" ca="1" si="32"/>
        <v>246.625</v>
      </c>
      <c r="J538" s="139">
        <v>3383</v>
      </c>
      <c r="K538" s="140">
        <v>4192.71</v>
      </c>
    </row>
    <row r="539" spans="1:11" ht="29.4" customHeight="1">
      <c r="A539" t="s">
        <v>2211</v>
      </c>
      <c r="B539" s="134" t="s">
        <v>1304</v>
      </c>
      <c r="C539" s="135" t="s">
        <v>1305</v>
      </c>
      <c r="D539" s="136" t="s">
        <v>1306</v>
      </c>
      <c r="E539" s="135" t="s">
        <v>14</v>
      </c>
      <c r="F539" s="135" t="s">
        <v>22</v>
      </c>
      <c r="G539" s="137">
        <v>6</v>
      </c>
      <c r="H539" s="138">
        <v>204.31</v>
      </c>
      <c r="I539" s="138">
        <f t="shared" ca="1" si="32"/>
        <v>255.38749999999999</v>
      </c>
      <c r="J539" s="139">
        <v>1231.02</v>
      </c>
      <c r="K539" s="140">
        <v>1532.34</v>
      </c>
    </row>
    <row r="540" spans="1:11" ht="30.6">
      <c r="A540" t="s">
        <v>2212</v>
      </c>
      <c r="B540" s="134" t="s">
        <v>1307</v>
      </c>
      <c r="C540" s="135" t="s">
        <v>1308</v>
      </c>
      <c r="D540" s="136" t="s">
        <v>1309</v>
      </c>
      <c r="E540" s="135" t="s">
        <v>14</v>
      </c>
      <c r="F540" s="135" t="s">
        <v>22</v>
      </c>
      <c r="G540" s="137">
        <v>1</v>
      </c>
      <c r="H540" s="138">
        <v>214.09</v>
      </c>
      <c r="I540" s="138">
        <f t="shared" ca="1" si="32"/>
        <v>267.61250000000001</v>
      </c>
      <c r="J540" s="139">
        <v>214.46</v>
      </c>
      <c r="K540" s="140">
        <v>267.61</v>
      </c>
    </row>
    <row r="541" spans="1:11">
      <c r="A541" t="s">
        <v>2213</v>
      </c>
      <c r="B541" s="131" t="s">
        <v>1310</v>
      </c>
      <c r="C541" s="154" t="s">
        <v>1003</v>
      </c>
      <c r="D541" s="154"/>
      <c r="E541" s="154"/>
      <c r="F541" s="154"/>
      <c r="G541" s="154"/>
      <c r="H541" s="154"/>
      <c r="I541" s="131"/>
      <c r="J541" s="132">
        <v>37301.21</v>
      </c>
      <c r="K541" s="133">
        <f ca="1">SUM(K542:K551)</f>
        <v>46588.98000000001</v>
      </c>
    </row>
    <row r="542" spans="1:11" ht="22.2" customHeight="1">
      <c r="A542" t="s">
        <v>2214</v>
      </c>
      <c r="B542" s="134" t="s">
        <v>1311</v>
      </c>
      <c r="C542" s="135" t="s">
        <v>899</v>
      </c>
      <c r="D542" s="136" t="s">
        <v>900</v>
      </c>
      <c r="E542" s="135" t="s">
        <v>14</v>
      </c>
      <c r="F542" s="135" t="s">
        <v>22</v>
      </c>
      <c r="G542" s="137">
        <v>5</v>
      </c>
      <c r="H542" s="138">
        <v>396.1</v>
      </c>
      <c r="I542" s="138">
        <f t="shared" ca="1" si="32"/>
        <v>495.125</v>
      </c>
      <c r="J542" s="139">
        <v>1983.1</v>
      </c>
      <c r="K542" s="140">
        <v>2475.65</v>
      </c>
    </row>
    <row r="543" spans="1:11" ht="27" customHeight="1">
      <c r="A543" t="s">
        <v>2215</v>
      </c>
      <c r="B543" s="134" t="s">
        <v>1312</v>
      </c>
      <c r="C543" s="135" t="s">
        <v>1313</v>
      </c>
      <c r="D543" s="136" t="s">
        <v>1314</v>
      </c>
      <c r="E543" s="135" t="s">
        <v>14</v>
      </c>
      <c r="F543" s="135" t="s">
        <v>22</v>
      </c>
      <c r="G543" s="137">
        <v>3</v>
      </c>
      <c r="H543" s="138">
        <v>424.32</v>
      </c>
      <c r="I543" s="138">
        <f t="shared" ca="1" si="32"/>
        <v>530.4</v>
      </c>
      <c r="J543" s="139">
        <v>1274.52</v>
      </c>
      <c r="K543" s="140">
        <f t="shared" ca="1" si="33"/>
        <v>1591.1999999999998</v>
      </c>
    </row>
    <row r="544" spans="1:11" ht="19.2" customHeight="1">
      <c r="A544" t="s">
        <v>2216</v>
      </c>
      <c r="B544" s="134" t="s">
        <v>1315</v>
      </c>
      <c r="C544" s="135" t="s">
        <v>1316</v>
      </c>
      <c r="D544" s="136" t="s">
        <v>1317</v>
      </c>
      <c r="E544" s="135" t="s">
        <v>26</v>
      </c>
      <c r="F544" s="135" t="s">
        <v>22</v>
      </c>
      <c r="G544" s="137">
        <v>2</v>
      </c>
      <c r="H544" s="138">
        <v>4733.93</v>
      </c>
      <c r="I544" s="138">
        <f t="shared" ca="1" si="32"/>
        <v>5917.4125000000004</v>
      </c>
      <c r="J544" s="139">
        <v>9467.86</v>
      </c>
      <c r="K544" s="140">
        <v>11834.82</v>
      </c>
    </row>
    <row r="545" spans="1:11" ht="29.4" customHeight="1">
      <c r="A545" t="s">
        <v>2217</v>
      </c>
      <c r="B545" s="134" t="s">
        <v>1318</v>
      </c>
      <c r="C545" s="135" t="s">
        <v>1319</v>
      </c>
      <c r="D545" s="136" t="s">
        <v>1320</v>
      </c>
      <c r="E545" s="135" t="s">
        <v>26</v>
      </c>
      <c r="F545" s="135" t="s">
        <v>30</v>
      </c>
      <c r="G545" s="137">
        <v>620</v>
      </c>
      <c r="H545" s="138">
        <v>28.85</v>
      </c>
      <c r="I545" s="138">
        <f t="shared" ca="1" si="32"/>
        <v>36.0625</v>
      </c>
      <c r="J545" s="139">
        <v>17887</v>
      </c>
      <c r="K545" s="140">
        <v>22357.200000000001</v>
      </c>
    </row>
    <row r="546" spans="1:11" ht="26.4" customHeight="1">
      <c r="A546" t="s">
        <v>2218</v>
      </c>
      <c r="B546" s="134" t="s">
        <v>1321</v>
      </c>
      <c r="C546" s="135" t="s">
        <v>1322</v>
      </c>
      <c r="D546" s="136" t="s">
        <v>1323</v>
      </c>
      <c r="E546" s="135" t="s">
        <v>14</v>
      </c>
      <c r="F546" s="135" t="s">
        <v>30</v>
      </c>
      <c r="G546" s="137">
        <v>310</v>
      </c>
      <c r="H546" s="138">
        <v>2.66</v>
      </c>
      <c r="I546" s="138">
        <f t="shared" ca="1" si="32"/>
        <v>3.3250000000000002</v>
      </c>
      <c r="J546" s="139">
        <v>830.8</v>
      </c>
      <c r="K546" s="140">
        <v>1032.3</v>
      </c>
    </row>
    <row r="547" spans="1:11" ht="25.8" customHeight="1">
      <c r="A547" t="s">
        <v>2219</v>
      </c>
      <c r="B547" s="134" t="s">
        <v>1324</v>
      </c>
      <c r="C547" s="135" t="s">
        <v>1325</v>
      </c>
      <c r="D547" s="136" t="s">
        <v>1326</v>
      </c>
      <c r="E547" s="135" t="s">
        <v>14</v>
      </c>
      <c r="F547" s="135" t="s">
        <v>22</v>
      </c>
      <c r="G547" s="137">
        <v>12</v>
      </c>
      <c r="H547" s="138">
        <v>17.579999999999998</v>
      </c>
      <c r="I547" s="138">
        <f t="shared" ca="1" si="32"/>
        <v>21.974999999999998</v>
      </c>
      <c r="J547" s="139">
        <v>215.16</v>
      </c>
      <c r="K547" s="140">
        <v>263.76</v>
      </c>
    </row>
    <row r="548" spans="1:11" ht="28.2" customHeight="1">
      <c r="A548" t="s">
        <v>2220</v>
      </c>
      <c r="B548" s="134" t="s">
        <v>1327</v>
      </c>
      <c r="C548" s="135" t="s">
        <v>1328</v>
      </c>
      <c r="D548" s="136" t="s">
        <v>1329</v>
      </c>
      <c r="E548" s="135" t="s">
        <v>14</v>
      </c>
      <c r="F548" s="135" t="s">
        <v>22</v>
      </c>
      <c r="G548" s="137">
        <v>13</v>
      </c>
      <c r="H548" s="138">
        <v>20.7</v>
      </c>
      <c r="I548" s="138">
        <f t="shared" ca="1" si="32"/>
        <v>25.875</v>
      </c>
      <c r="J548" s="139">
        <v>274.04000000000002</v>
      </c>
      <c r="K548" s="140">
        <v>336.44</v>
      </c>
    </row>
    <row r="549" spans="1:11" ht="23.4" customHeight="1">
      <c r="A549" t="s">
        <v>2221</v>
      </c>
      <c r="B549" s="134" t="s">
        <v>1330</v>
      </c>
      <c r="C549" s="135" t="s">
        <v>1331</v>
      </c>
      <c r="D549" s="136" t="s">
        <v>1332</v>
      </c>
      <c r="E549" s="135" t="s">
        <v>14</v>
      </c>
      <c r="F549" s="135" t="s">
        <v>22</v>
      </c>
      <c r="G549" s="137">
        <v>2</v>
      </c>
      <c r="H549" s="138">
        <v>145.19999999999999</v>
      </c>
      <c r="I549" s="138">
        <f t="shared" ca="1" si="32"/>
        <v>181.5</v>
      </c>
      <c r="J549" s="139">
        <v>292.36</v>
      </c>
      <c r="K549" s="140">
        <f t="shared" ca="1" si="33"/>
        <v>363</v>
      </c>
    </row>
    <row r="550" spans="1:11" ht="20.399999999999999">
      <c r="A550" t="s">
        <v>2222</v>
      </c>
      <c r="B550" s="134" t="s">
        <v>1333</v>
      </c>
      <c r="C550" s="135" t="s">
        <v>1334</v>
      </c>
      <c r="D550" s="136" t="s">
        <v>1335</v>
      </c>
      <c r="E550" s="135" t="s">
        <v>14</v>
      </c>
      <c r="F550" s="135" t="s">
        <v>30</v>
      </c>
      <c r="G550" s="137">
        <v>310</v>
      </c>
      <c r="H550" s="138">
        <v>3.83</v>
      </c>
      <c r="I550" s="138">
        <f t="shared" ca="1" si="32"/>
        <v>4.7874999999999996</v>
      </c>
      <c r="J550" s="139">
        <v>1196.5999999999999</v>
      </c>
      <c r="K550" s="140">
        <v>1484.9</v>
      </c>
    </row>
    <row r="551" spans="1:11">
      <c r="A551" t="s">
        <v>2223</v>
      </c>
      <c r="B551" s="134" t="s">
        <v>1336</v>
      </c>
      <c r="C551" s="135" t="s">
        <v>1337</v>
      </c>
      <c r="D551" s="136" t="s">
        <v>1338</v>
      </c>
      <c r="E551" s="135" t="s">
        <v>26</v>
      </c>
      <c r="F551" s="135" t="s">
        <v>22</v>
      </c>
      <c r="G551" s="137">
        <v>1</v>
      </c>
      <c r="H551" s="138">
        <v>3879.77</v>
      </c>
      <c r="I551" s="138">
        <f t="shared" ca="1" si="32"/>
        <v>4849.7124999999996</v>
      </c>
      <c r="J551" s="139">
        <v>3879.77</v>
      </c>
      <c r="K551" s="140">
        <v>4849.71</v>
      </c>
    </row>
    <row r="552" spans="1:11">
      <c r="A552" t="s">
        <v>2224</v>
      </c>
      <c r="B552" s="131" t="s">
        <v>1339</v>
      </c>
      <c r="C552" s="154" t="s">
        <v>1340</v>
      </c>
      <c r="D552" s="154"/>
      <c r="E552" s="154"/>
      <c r="F552" s="154"/>
      <c r="G552" s="154"/>
      <c r="H552" s="154"/>
      <c r="I552" s="131"/>
      <c r="J552" s="132">
        <v>22640.19</v>
      </c>
      <c r="K552" s="133">
        <f>SUM(K553:K556)</f>
        <v>28234.719999999998</v>
      </c>
    </row>
    <row r="553" spans="1:11" ht="30.6">
      <c r="A553" t="s">
        <v>2225</v>
      </c>
      <c r="B553" s="134" t="s">
        <v>1341</v>
      </c>
      <c r="C553" s="135" t="s">
        <v>1342</v>
      </c>
      <c r="D553" s="136" t="s">
        <v>1343</v>
      </c>
      <c r="E553" s="135" t="s">
        <v>14</v>
      </c>
      <c r="F553" s="135" t="s">
        <v>22</v>
      </c>
      <c r="G553" s="137">
        <v>13</v>
      </c>
      <c r="H553" s="138">
        <v>1414.39</v>
      </c>
      <c r="I553" s="138">
        <f t="shared" ca="1" si="32"/>
        <v>1767.9875000000002</v>
      </c>
      <c r="J553" s="139">
        <v>18432.830000000002</v>
      </c>
      <c r="K553" s="140">
        <v>22983.87</v>
      </c>
    </row>
    <row r="554" spans="1:11" ht="20.399999999999999">
      <c r="A554" t="s">
        <v>2226</v>
      </c>
      <c r="B554" s="134" t="s">
        <v>1344</v>
      </c>
      <c r="C554" s="135" t="s">
        <v>1345</v>
      </c>
      <c r="D554" s="136" t="s">
        <v>1346</v>
      </c>
      <c r="E554" s="135" t="s">
        <v>14</v>
      </c>
      <c r="F554" s="135" t="s">
        <v>22</v>
      </c>
      <c r="G554" s="137">
        <v>1</v>
      </c>
      <c r="H554" s="138">
        <v>267.42</v>
      </c>
      <c r="I554" s="138">
        <f t="shared" ca="1" si="32"/>
        <v>334.27500000000003</v>
      </c>
      <c r="J554" s="139">
        <v>268.44</v>
      </c>
      <c r="K554" s="140">
        <v>334.28</v>
      </c>
    </row>
    <row r="555" spans="1:11">
      <c r="A555" t="s">
        <v>2227</v>
      </c>
      <c r="B555" s="134" t="s">
        <v>1347</v>
      </c>
      <c r="C555" s="135" t="s">
        <v>899</v>
      </c>
      <c r="D555" s="136" t="s">
        <v>900</v>
      </c>
      <c r="E555" s="135" t="s">
        <v>14</v>
      </c>
      <c r="F555" s="135" t="s">
        <v>22</v>
      </c>
      <c r="G555" s="137">
        <v>1</v>
      </c>
      <c r="H555" s="138">
        <v>396.1</v>
      </c>
      <c r="I555" s="138">
        <f t="shared" ca="1" si="32"/>
        <v>495.125</v>
      </c>
      <c r="J555" s="139">
        <v>396.62</v>
      </c>
      <c r="K555" s="140">
        <v>495.13</v>
      </c>
    </row>
    <row r="556" spans="1:11" ht="31.8" customHeight="1">
      <c r="A556" t="s">
        <v>2228</v>
      </c>
      <c r="B556" s="134" t="s">
        <v>1348</v>
      </c>
      <c r="C556" s="135" t="s">
        <v>1349</v>
      </c>
      <c r="D556" s="136" t="s">
        <v>1350</v>
      </c>
      <c r="E556" s="135" t="s">
        <v>14</v>
      </c>
      <c r="F556" s="135" t="s">
        <v>22</v>
      </c>
      <c r="G556" s="137">
        <v>1</v>
      </c>
      <c r="H556" s="138">
        <v>3537.15</v>
      </c>
      <c r="I556" s="138">
        <f t="shared" ca="1" si="32"/>
        <v>4421.4375</v>
      </c>
      <c r="J556" s="139">
        <v>3542.3</v>
      </c>
      <c r="K556" s="140">
        <v>4421.4399999999996</v>
      </c>
    </row>
    <row r="557" spans="1:11">
      <c r="A557" t="s">
        <v>2229</v>
      </c>
      <c r="B557" s="131" t="s">
        <v>1351</v>
      </c>
      <c r="C557" s="154" t="s">
        <v>1352</v>
      </c>
      <c r="D557" s="154"/>
      <c r="E557" s="154"/>
      <c r="F557" s="154"/>
      <c r="G557" s="154"/>
      <c r="H557" s="154"/>
      <c r="I557" s="131"/>
      <c r="J557" s="132">
        <v>11256.59</v>
      </c>
      <c r="K557" s="133">
        <f>SUM(K558:K560)</f>
        <v>13986.07</v>
      </c>
    </row>
    <row r="558" spans="1:11" ht="25.2" customHeight="1">
      <c r="A558" t="s">
        <v>2230</v>
      </c>
      <c r="B558" s="134" t="s">
        <v>1353</v>
      </c>
      <c r="C558" s="135" t="s">
        <v>1354</v>
      </c>
      <c r="D558" s="136" t="s">
        <v>1355</v>
      </c>
      <c r="E558" s="135" t="s">
        <v>14</v>
      </c>
      <c r="F558" s="135" t="s">
        <v>22</v>
      </c>
      <c r="G558" s="137">
        <v>91</v>
      </c>
      <c r="H558" s="138">
        <v>23.69</v>
      </c>
      <c r="I558" s="138">
        <f t="shared" ca="1" si="32"/>
        <v>29.612500000000001</v>
      </c>
      <c r="J558" s="139">
        <v>2170.35</v>
      </c>
      <c r="K558" s="140">
        <v>2694.51</v>
      </c>
    </row>
    <row r="559" spans="1:11" ht="28.8" customHeight="1">
      <c r="A559" t="s">
        <v>2231</v>
      </c>
      <c r="B559" s="134" t="s">
        <v>1356</v>
      </c>
      <c r="C559" s="135" t="s">
        <v>1357</v>
      </c>
      <c r="D559" s="136" t="s">
        <v>1358</v>
      </c>
      <c r="E559" s="135" t="s">
        <v>14</v>
      </c>
      <c r="F559" s="135" t="s">
        <v>15</v>
      </c>
      <c r="G559" s="137">
        <v>36</v>
      </c>
      <c r="H559" s="138">
        <v>78.81</v>
      </c>
      <c r="I559" s="138">
        <f t="shared" ca="1" si="32"/>
        <v>98.512500000000003</v>
      </c>
      <c r="J559" s="139">
        <v>2890.08</v>
      </c>
      <c r="K559" s="140">
        <v>3546.36</v>
      </c>
    </row>
    <row r="560" spans="1:11">
      <c r="A560" t="s">
        <v>2232</v>
      </c>
      <c r="B560" s="134" t="s">
        <v>1359</v>
      </c>
      <c r="C560" s="135" t="s">
        <v>1360</v>
      </c>
      <c r="D560" s="136" t="s">
        <v>1361</v>
      </c>
      <c r="E560" s="135" t="s">
        <v>26</v>
      </c>
      <c r="F560" s="135" t="s">
        <v>22</v>
      </c>
      <c r="G560" s="137">
        <v>136</v>
      </c>
      <c r="H560" s="138">
        <v>45.56</v>
      </c>
      <c r="I560" s="138">
        <f t="shared" ca="1" si="32"/>
        <v>56.95</v>
      </c>
      <c r="J560" s="139">
        <v>6196.16</v>
      </c>
      <c r="K560" s="140">
        <v>7745.2</v>
      </c>
    </row>
    <row r="561" spans="1:11">
      <c r="A561" t="s">
        <v>2233</v>
      </c>
      <c r="B561" s="131" t="s">
        <v>1362</v>
      </c>
      <c r="C561" s="154" t="s">
        <v>1363</v>
      </c>
      <c r="D561" s="154"/>
      <c r="E561" s="154"/>
      <c r="F561" s="154"/>
      <c r="G561" s="154"/>
      <c r="H561" s="154"/>
      <c r="I561" s="131"/>
      <c r="J561" s="132">
        <v>594359.66330000001</v>
      </c>
      <c r="K561" s="133">
        <f ca="1">SUM(K562,K569,K594,K617,K633,K639)</f>
        <v>741662.7</v>
      </c>
    </row>
    <row r="562" spans="1:11">
      <c r="A562" t="s">
        <v>2234</v>
      </c>
      <c r="B562" s="131" t="s">
        <v>1364</v>
      </c>
      <c r="C562" s="154" t="s">
        <v>1365</v>
      </c>
      <c r="D562" s="154"/>
      <c r="E562" s="154"/>
      <c r="F562" s="154"/>
      <c r="G562" s="154"/>
      <c r="H562" s="154"/>
      <c r="I562" s="131"/>
      <c r="J562" s="132">
        <v>18608.66</v>
      </c>
      <c r="K562" s="133">
        <f ca="1">SUM(K563:K568)</f>
        <v>23249.030000000002</v>
      </c>
    </row>
    <row r="563" spans="1:11" ht="39" customHeight="1">
      <c r="A563" t="s">
        <v>2235</v>
      </c>
      <c r="B563" s="134" t="s">
        <v>1366</v>
      </c>
      <c r="C563" s="135" t="s">
        <v>1367</v>
      </c>
      <c r="D563" s="136" t="s">
        <v>1368</v>
      </c>
      <c r="E563" s="135" t="s">
        <v>14</v>
      </c>
      <c r="F563" s="135" t="s">
        <v>22</v>
      </c>
      <c r="G563" s="137">
        <v>2</v>
      </c>
      <c r="H563" s="138">
        <v>493.73</v>
      </c>
      <c r="I563" s="138">
        <f t="shared" ref="I563:I626" ca="1" si="34">(H563*J$5)+H563</f>
        <v>617.16250000000002</v>
      </c>
      <c r="J563" s="139">
        <v>988.86</v>
      </c>
      <c r="K563" s="140">
        <v>1234.32</v>
      </c>
    </row>
    <row r="564" spans="1:11" ht="40.200000000000003" customHeight="1">
      <c r="A564" t="s">
        <v>2236</v>
      </c>
      <c r="B564" s="134" t="s">
        <v>1369</v>
      </c>
      <c r="C564" s="135" t="s">
        <v>1370</v>
      </c>
      <c r="D564" s="136" t="s">
        <v>1371</v>
      </c>
      <c r="E564" s="135" t="s">
        <v>14</v>
      </c>
      <c r="F564" s="135" t="s">
        <v>22</v>
      </c>
      <c r="G564" s="137">
        <v>1</v>
      </c>
      <c r="H564" s="138">
        <v>517.76</v>
      </c>
      <c r="I564" s="138">
        <f t="shared" ca="1" si="34"/>
        <v>647.20000000000005</v>
      </c>
      <c r="J564" s="139">
        <v>518.47</v>
      </c>
      <c r="K564" s="140">
        <v>647.20000000000005</v>
      </c>
    </row>
    <row r="565" spans="1:11" ht="29.4" customHeight="1">
      <c r="A565" t="s">
        <v>2237</v>
      </c>
      <c r="B565" s="134" t="s">
        <v>1372</v>
      </c>
      <c r="C565" s="135" t="s">
        <v>1373</v>
      </c>
      <c r="D565" s="136" t="s">
        <v>1374</v>
      </c>
      <c r="E565" s="135" t="s">
        <v>26</v>
      </c>
      <c r="F565" s="135" t="s">
        <v>22</v>
      </c>
      <c r="G565" s="137">
        <v>4</v>
      </c>
      <c r="H565" s="138">
        <v>993.5</v>
      </c>
      <c r="I565" s="138">
        <f t="shared" ca="1" si="34"/>
        <v>1241.875</v>
      </c>
      <c r="J565" s="139">
        <v>3974</v>
      </c>
      <c r="K565" s="140">
        <v>4967.5200000000004</v>
      </c>
    </row>
    <row r="566" spans="1:11" ht="36.6" customHeight="1">
      <c r="A566" t="s">
        <v>2238</v>
      </c>
      <c r="B566" s="134" t="s">
        <v>1375</v>
      </c>
      <c r="C566" s="135" t="s">
        <v>1376</v>
      </c>
      <c r="D566" s="136" t="s">
        <v>1377</v>
      </c>
      <c r="E566" s="135" t="s">
        <v>14</v>
      </c>
      <c r="F566" s="135" t="s">
        <v>22</v>
      </c>
      <c r="G566" s="137">
        <v>1</v>
      </c>
      <c r="H566" s="138">
        <v>500</v>
      </c>
      <c r="I566" s="138">
        <f t="shared" ca="1" si="34"/>
        <v>625</v>
      </c>
      <c r="J566" s="139">
        <v>501.83</v>
      </c>
      <c r="K566" s="140">
        <f t="shared" ref="K566:K613" ca="1" si="35">I566*G566</f>
        <v>625</v>
      </c>
    </row>
    <row r="567" spans="1:11" ht="28.8" customHeight="1">
      <c r="A567" t="s">
        <v>2239</v>
      </c>
      <c r="B567" s="134" t="s">
        <v>1378</v>
      </c>
      <c r="C567" s="135" t="s">
        <v>1379</v>
      </c>
      <c r="D567" s="136" t="s">
        <v>1380</v>
      </c>
      <c r="E567" s="135" t="s">
        <v>26</v>
      </c>
      <c r="F567" s="135" t="s">
        <v>22</v>
      </c>
      <c r="G567" s="137">
        <v>6</v>
      </c>
      <c r="H567" s="138">
        <v>2026.97</v>
      </c>
      <c r="I567" s="138">
        <f t="shared" ca="1" si="34"/>
        <v>2533.7125000000001</v>
      </c>
      <c r="J567" s="139">
        <v>12161.82</v>
      </c>
      <c r="K567" s="140">
        <v>15202.26</v>
      </c>
    </row>
    <row r="568" spans="1:11" ht="34.200000000000003" customHeight="1">
      <c r="A568" t="s">
        <v>2240</v>
      </c>
      <c r="B568" s="134" t="s">
        <v>1381</v>
      </c>
      <c r="C568" s="135" t="s">
        <v>1382</v>
      </c>
      <c r="D568" s="136" t="s">
        <v>1383</v>
      </c>
      <c r="E568" s="135" t="s">
        <v>14</v>
      </c>
      <c r="F568" s="135" t="s">
        <v>22</v>
      </c>
      <c r="G568" s="137">
        <v>3</v>
      </c>
      <c r="H568" s="138">
        <v>152.72999999999999</v>
      </c>
      <c r="I568" s="138">
        <f t="shared" ca="1" si="34"/>
        <v>190.91249999999999</v>
      </c>
      <c r="J568" s="139">
        <v>463.68</v>
      </c>
      <c r="K568" s="140">
        <v>572.73</v>
      </c>
    </row>
    <row r="569" spans="1:11">
      <c r="A569" t="s">
        <v>2241</v>
      </c>
      <c r="B569" s="131" t="s">
        <v>1384</v>
      </c>
      <c r="C569" s="154" t="s">
        <v>1385</v>
      </c>
      <c r="D569" s="154"/>
      <c r="E569" s="154"/>
      <c r="F569" s="154"/>
      <c r="G569" s="154"/>
      <c r="H569" s="154"/>
      <c r="I569" s="131"/>
      <c r="J569" s="132">
        <v>49422.400000000001</v>
      </c>
      <c r="K569" s="133">
        <f ca="1">SUM(K570:K593)</f>
        <v>63477.062499999978</v>
      </c>
    </row>
    <row r="570" spans="1:11" ht="28.8" customHeight="1">
      <c r="A570" t="s">
        <v>2242</v>
      </c>
      <c r="B570" s="134" t="s">
        <v>1386</v>
      </c>
      <c r="C570" s="135" t="s">
        <v>1387</v>
      </c>
      <c r="D570" s="136" t="s">
        <v>1388</v>
      </c>
      <c r="E570" s="135" t="s">
        <v>14</v>
      </c>
      <c r="F570" s="135" t="s">
        <v>22</v>
      </c>
      <c r="G570" s="137">
        <v>62</v>
      </c>
      <c r="H570" s="138">
        <v>17.41</v>
      </c>
      <c r="I570" s="138">
        <f t="shared" ca="1" si="34"/>
        <v>21.762499999999999</v>
      </c>
      <c r="J570" s="139">
        <v>1081.9000000000001</v>
      </c>
      <c r="K570" s="140">
        <v>1349.12</v>
      </c>
    </row>
    <row r="571" spans="1:11" ht="28.8" customHeight="1">
      <c r="A571" t="s">
        <v>2243</v>
      </c>
      <c r="B571" s="134" t="s">
        <v>1389</v>
      </c>
      <c r="C571" s="135" t="s">
        <v>1390</v>
      </c>
      <c r="D571" s="136" t="s">
        <v>1391</v>
      </c>
      <c r="E571" s="135" t="s">
        <v>14</v>
      </c>
      <c r="F571" s="135" t="s">
        <v>22</v>
      </c>
      <c r="G571" s="137">
        <v>20</v>
      </c>
      <c r="H571" s="138">
        <v>18.03</v>
      </c>
      <c r="I571" s="138">
        <f t="shared" ca="1" si="34"/>
        <v>22.537500000000001</v>
      </c>
      <c r="J571" s="139">
        <v>361.6</v>
      </c>
      <c r="K571" s="140">
        <v>450.8</v>
      </c>
    </row>
    <row r="572" spans="1:11" ht="21.6" customHeight="1">
      <c r="A572" t="s">
        <v>2244</v>
      </c>
      <c r="B572" s="134" t="s">
        <v>1392</v>
      </c>
      <c r="C572" s="135" t="s">
        <v>1393</v>
      </c>
      <c r="D572" s="136" t="s">
        <v>1394</v>
      </c>
      <c r="E572" s="135" t="s">
        <v>14</v>
      </c>
      <c r="F572" s="135" t="s">
        <v>22</v>
      </c>
      <c r="G572" s="137">
        <v>5</v>
      </c>
      <c r="H572" s="138">
        <v>19.440000000000001</v>
      </c>
      <c r="I572" s="138">
        <f t="shared" ca="1" si="34"/>
        <v>24.3</v>
      </c>
      <c r="J572" s="139">
        <v>97.55</v>
      </c>
      <c r="K572" s="140">
        <f t="shared" ca="1" si="35"/>
        <v>121.5</v>
      </c>
    </row>
    <row r="573" spans="1:11" ht="30.6" customHeight="1">
      <c r="A573" t="s">
        <v>2245</v>
      </c>
      <c r="B573" s="134" t="s">
        <v>1395</v>
      </c>
      <c r="C573" s="135" t="s">
        <v>1396</v>
      </c>
      <c r="D573" s="136" t="s">
        <v>1397</v>
      </c>
      <c r="E573" s="135" t="s">
        <v>14</v>
      </c>
      <c r="F573" s="135" t="s">
        <v>22</v>
      </c>
      <c r="G573" s="137">
        <v>1</v>
      </c>
      <c r="H573" s="138">
        <v>19.440000000000001</v>
      </c>
      <c r="I573" s="138">
        <f t="shared" ca="1" si="34"/>
        <v>24.3</v>
      </c>
      <c r="J573" s="139">
        <v>19.510000000000002</v>
      </c>
      <c r="K573" s="140">
        <f t="shared" ca="1" si="35"/>
        <v>24.3</v>
      </c>
    </row>
    <row r="574" spans="1:11" ht="23.4" customHeight="1">
      <c r="A574" t="s">
        <v>2246</v>
      </c>
      <c r="B574" s="134" t="s">
        <v>1398</v>
      </c>
      <c r="C574" s="135" t="s">
        <v>1399</v>
      </c>
      <c r="D574" s="136" t="s">
        <v>1400</v>
      </c>
      <c r="E574" s="135" t="s">
        <v>14</v>
      </c>
      <c r="F574" s="135" t="s">
        <v>22</v>
      </c>
      <c r="G574" s="137">
        <v>12</v>
      </c>
      <c r="H574" s="138">
        <v>87.42</v>
      </c>
      <c r="I574" s="138">
        <f t="shared" ca="1" si="34"/>
        <v>109.27500000000001</v>
      </c>
      <c r="J574" s="139">
        <v>1049.8800000000001</v>
      </c>
      <c r="K574" s="140">
        <v>1311.36</v>
      </c>
    </row>
    <row r="575" spans="1:11" ht="26.4" customHeight="1">
      <c r="A575" t="s">
        <v>2247</v>
      </c>
      <c r="B575" s="134" t="s">
        <v>1401</v>
      </c>
      <c r="C575" s="135" t="s">
        <v>1402</v>
      </c>
      <c r="D575" s="136" t="s">
        <v>1403</v>
      </c>
      <c r="E575" s="135" t="s">
        <v>14</v>
      </c>
      <c r="F575" s="135" t="s">
        <v>22</v>
      </c>
      <c r="G575" s="137">
        <v>15</v>
      </c>
      <c r="H575" s="138">
        <v>108.93</v>
      </c>
      <c r="I575" s="138">
        <f t="shared" ca="1" si="34"/>
        <v>136.16250000000002</v>
      </c>
      <c r="J575" s="139">
        <v>1635.75</v>
      </c>
      <c r="K575" s="140">
        <v>2042.4</v>
      </c>
    </row>
    <row r="576" spans="1:11" ht="27.6" customHeight="1">
      <c r="A576" t="s">
        <v>2248</v>
      </c>
      <c r="B576" s="134" t="s">
        <v>1404</v>
      </c>
      <c r="C576" s="135" t="s">
        <v>1405</v>
      </c>
      <c r="D576" s="136" t="s">
        <v>1406</v>
      </c>
      <c r="E576" s="135" t="s">
        <v>14</v>
      </c>
      <c r="F576" s="135" t="s">
        <v>22</v>
      </c>
      <c r="G576" s="137">
        <v>1</v>
      </c>
      <c r="H576" s="138">
        <v>110.8</v>
      </c>
      <c r="I576" s="138">
        <f t="shared" ca="1" si="34"/>
        <v>138.5</v>
      </c>
      <c r="J576" s="139">
        <v>110.96</v>
      </c>
      <c r="K576" s="140">
        <f t="shared" ca="1" si="35"/>
        <v>138.5</v>
      </c>
    </row>
    <row r="577" spans="1:11" ht="34.200000000000003" customHeight="1">
      <c r="A577" t="s">
        <v>2249</v>
      </c>
      <c r="B577" s="134" t="s">
        <v>1407</v>
      </c>
      <c r="C577" s="135" t="s">
        <v>1408</v>
      </c>
      <c r="D577" s="136" t="s">
        <v>1409</v>
      </c>
      <c r="E577" s="135" t="s">
        <v>14</v>
      </c>
      <c r="F577" s="135" t="s">
        <v>22</v>
      </c>
      <c r="G577" s="137">
        <v>1</v>
      </c>
      <c r="H577" s="138">
        <v>119.9</v>
      </c>
      <c r="I577" s="138">
        <f t="shared" ca="1" si="34"/>
        <v>149.875</v>
      </c>
      <c r="J577" s="139">
        <v>120.22</v>
      </c>
      <c r="K577" s="140">
        <f t="shared" ca="1" si="35"/>
        <v>149.875</v>
      </c>
    </row>
    <row r="578" spans="1:11" ht="29.4" customHeight="1">
      <c r="A578" t="s">
        <v>2250</v>
      </c>
      <c r="B578" s="134" t="s">
        <v>1410</v>
      </c>
      <c r="C578" s="135" t="s">
        <v>1411</v>
      </c>
      <c r="D578" s="136" t="s">
        <v>1412</v>
      </c>
      <c r="E578" s="135" t="s">
        <v>14</v>
      </c>
      <c r="F578" s="135" t="s">
        <v>22</v>
      </c>
      <c r="G578" s="137">
        <v>3</v>
      </c>
      <c r="H578" s="138">
        <v>224.66</v>
      </c>
      <c r="I578" s="138">
        <f t="shared" ca="1" si="34"/>
        <v>280.82499999999999</v>
      </c>
      <c r="J578" s="139">
        <v>676.8</v>
      </c>
      <c r="K578" s="140">
        <v>842.49</v>
      </c>
    </row>
    <row r="579" spans="1:11" ht="28.8" customHeight="1">
      <c r="A579" t="s">
        <v>2251</v>
      </c>
      <c r="B579" s="134" t="s">
        <v>1413</v>
      </c>
      <c r="C579" s="135" t="s">
        <v>1414</v>
      </c>
      <c r="D579" s="136" t="s">
        <v>1415</v>
      </c>
      <c r="E579" s="135" t="s">
        <v>14</v>
      </c>
      <c r="F579" s="135" t="s">
        <v>22</v>
      </c>
      <c r="G579" s="137">
        <v>1</v>
      </c>
      <c r="H579" s="138">
        <v>964.4</v>
      </c>
      <c r="I579" s="138">
        <f t="shared" ca="1" si="34"/>
        <v>1205.5</v>
      </c>
      <c r="J579" s="139">
        <v>965.99</v>
      </c>
      <c r="K579" s="140">
        <v>1205.5</v>
      </c>
    </row>
    <row r="580" spans="1:11" ht="27" customHeight="1">
      <c r="A580" t="s">
        <v>2252</v>
      </c>
      <c r="B580" s="134" t="s">
        <v>1416</v>
      </c>
      <c r="C580" s="135" t="s">
        <v>1417</v>
      </c>
      <c r="D580" s="136" t="s">
        <v>1418</v>
      </c>
      <c r="E580" s="135" t="s">
        <v>14</v>
      </c>
      <c r="F580" s="135" t="s">
        <v>22</v>
      </c>
      <c r="G580" s="137">
        <v>2</v>
      </c>
      <c r="H580" s="138">
        <v>2097.7199999999998</v>
      </c>
      <c r="I580" s="138">
        <f t="shared" ca="1" si="34"/>
        <v>2622.1499999999996</v>
      </c>
      <c r="J580" s="139">
        <v>4198.62</v>
      </c>
      <c r="K580" s="140">
        <v>5244.3</v>
      </c>
    </row>
    <row r="581" spans="1:11">
      <c r="A581" t="s">
        <v>2253</v>
      </c>
      <c r="B581" s="134" t="s">
        <v>1419</v>
      </c>
      <c r="C581" s="135" t="s">
        <v>1420</v>
      </c>
      <c r="D581" s="136" t="s">
        <v>1421</v>
      </c>
      <c r="E581" s="135" t="s">
        <v>26</v>
      </c>
      <c r="F581" s="135" t="s">
        <v>22</v>
      </c>
      <c r="G581" s="137">
        <v>3</v>
      </c>
      <c r="H581" s="138">
        <v>237.92</v>
      </c>
      <c r="I581" s="138">
        <f t="shared" ca="1" si="34"/>
        <v>297.39999999999998</v>
      </c>
      <c r="J581" s="139">
        <v>713.76</v>
      </c>
      <c r="K581" s="140">
        <f t="shared" ca="1" si="35"/>
        <v>892.19999999999993</v>
      </c>
    </row>
    <row r="582" spans="1:11">
      <c r="A582" t="s">
        <v>2254</v>
      </c>
      <c r="B582" s="134" t="s">
        <v>1422</v>
      </c>
      <c r="C582" s="135">
        <v>39460</v>
      </c>
      <c r="D582" s="136" t="s">
        <v>1983</v>
      </c>
      <c r="E582" s="135" t="s">
        <v>14</v>
      </c>
      <c r="F582" s="135" t="s">
        <v>22</v>
      </c>
      <c r="G582" s="137">
        <v>36</v>
      </c>
      <c r="H582" s="138">
        <v>306.94</v>
      </c>
      <c r="I582" s="138">
        <f t="shared" ca="1" si="34"/>
        <v>383.67500000000001</v>
      </c>
      <c r="J582" s="139">
        <v>9653.4</v>
      </c>
      <c r="K582" s="140">
        <v>13812.48</v>
      </c>
    </row>
    <row r="583" spans="1:11">
      <c r="A583" t="s">
        <v>2255</v>
      </c>
      <c r="B583" s="134" t="s">
        <v>1423</v>
      </c>
      <c r="C583" s="135" t="s">
        <v>1424</v>
      </c>
      <c r="D583" s="136" t="s">
        <v>1425</v>
      </c>
      <c r="E583" s="135" t="s">
        <v>26</v>
      </c>
      <c r="F583" s="135" t="s">
        <v>22</v>
      </c>
      <c r="G583" s="137">
        <v>52</v>
      </c>
      <c r="H583" s="138">
        <v>172.45</v>
      </c>
      <c r="I583" s="138">
        <f t="shared" ca="1" si="34"/>
        <v>215.5625</v>
      </c>
      <c r="J583" s="139">
        <v>8967.4</v>
      </c>
      <c r="K583" s="140">
        <v>11209.12</v>
      </c>
    </row>
    <row r="584" spans="1:11">
      <c r="A584" t="s">
        <v>2256</v>
      </c>
      <c r="B584" s="134" t="s">
        <v>1426</v>
      </c>
      <c r="C584" s="135" t="s">
        <v>1427</v>
      </c>
      <c r="D584" s="136" t="s">
        <v>1428</v>
      </c>
      <c r="E584" s="135" t="s">
        <v>26</v>
      </c>
      <c r="F584" s="135" t="s">
        <v>22</v>
      </c>
      <c r="G584" s="137">
        <v>8</v>
      </c>
      <c r="H584" s="138">
        <v>292.08999999999997</v>
      </c>
      <c r="I584" s="138">
        <f t="shared" ca="1" si="34"/>
        <v>365.11249999999995</v>
      </c>
      <c r="J584" s="139">
        <v>2336.7199999999998</v>
      </c>
      <c r="K584" s="140">
        <v>2920.88</v>
      </c>
    </row>
    <row r="585" spans="1:11" ht="29.4" customHeight="1">
      <c r="A585" t="s">
        <v>2257</v>
      </c>
      <c r="B585" s="134" t="s">
        <v>1429</v>
      </c>
      <c r="C585" s="135" t="s">
        <v>1430</v>
      </c>
      <c r="D585" s="136" t="s">
        <v>1431</v>
      </c>
      <c r="E585" s="135" t="s">
        <v>14</v>
      </c>
      <c r="F585" s="135" t="s">
        <v>22</v>
      </c>
      <c r="G585" s="137">
        <v>36</v>
      </c>
      <c r="H585" s="138">
        <v>88.66</v>
      </c>
      <c r="I585" s="138">
        <f t="shared" ca="1" si="34"/>
        <v>110.82499999999999</v>
      </c>
      <c r="J585" s="139">
        <v>3195.36</v>
      </c>
      <c r="K585" s="140">
        <v>3989.88</v>
      </c>
    </row>
    <row r="586" spans="1:11" ht="28.2" customHeight="1">
      <c r="A586" t="s">
        <v>2258</v>
      </c>
      <c r="B586" s="134" t="s">
        <v>1432</v>
      </c>
      <c r="C586" s="135" t="s">
        <v>1433</v>
      </c>
      <c r="D586" s="136" t="s">
        <v>1434</v>
      </c>
      <c r="E586" s="135" t="s">
        <v>14</v>
      </c>
      <c r="F586" s="135" t="s">
        <v>22</v>
      </c>
      <c r="G586" s="137">
        <v>1</v>
      </c>
      <c r="H586" s="138">
        <v>91.45</v>
      </c>
      <c r="I586" s="138">
        <f t="shared" ca="1" si="34"/>
        <v>114.3125</v>
      </c>
      <c r="J586" s="139">
        <v>91.61</v>
      </c>
      <c r="K586" s="140">
        <v>114.31</v>
      </c>
    </row>
    <row r="587" spans="1:11" ht="25.8" customHeight="1">
      <c r="A587" t="s">
        <v>2259</v>
      </c>
      <c r="B587" s="134" t="s">
        <v>1435</v>
      </c>
      <c r="C587" s="135" t="s">
        <v>1436</v>
      </c>
      <c r="D587" s="136" t="s">
        <v>1437</v>
      </c>
      <c r="E587" s="135" t="s">
        <v>14</v>
      </c>
      <c r="F587" s="135" t="s">
        <v>22</v>
      </c>
      <c r="G587" s="137">
        <v>1</v>
      </c>
      <c r="H587" s="138">
        <v>98.3</v>
      </c>
      <c r="I587" s="138">
        <f t="shared" ca="1" si="34"/>
        <v>122.875</v>
      </c>
      <c r="J587" s="139">
        <v>98.62</v>
      </c>
      <c r="K587" s="140">
        <v>122.88</v>
      </c>
    </row>
    <row r="588" spans="1:11" ht="26.4" customHeight="1">
      <c r="A588" t="s">
        <v>2260</v>
      </c>
      <c r="B588" s="134" t="s">
        <v>1438</v>
      </c>
      <c r="C588" s="135" t="s">
        <v>1439</v>
      </c>
      <c r="D588" s="136" t="s">
        <v>1440</v>
      </c>
      <c r="E588" s="135" t="s">
        <v>14</v>
      </c>
      <c r="F588" s="135" t="s">
        <v>22</v>
      </c>
      <c r="G588" s="137">
        <v>14</v>
      </c>
      <c r="H588" s="138">
        <v>91.45</v>
      </c>
      <c r="I588" s="138">
        <f t="shared" ca="1" si="34"/>
        <v>114.3125</v>
      </c>
      <c r="J588" s="139">
        <v>1282.54</v>
      </c>
      <c r="K588" s="140">
        <v>1600.34</v>
      </c>
    </row>
    <row r="589" spans="1:11" ht="27.6" customHeight="1">
      <c r="A589" t="s">
        <v>2261</v>
      </c>
      <c r="B589" s="134" t="s">
        <v>1441</v>
      </c>
      <c r="C589" s="135" t="s">
        <v>1442</v>
      </c>
      <c r="D589" s="136" t="s">
        <v>1443</v>
      </c>
      <c r="E589" s="135" t="s">
        <v>26</v>
      </c>
      <c r="F589" s="135" t="s">
        <v>22</v>
      </c>
      <c r="G589" s="137">
        <v>1</v>
      </c>
      <c r="H589" s="138">
        <v>573.04999999999995</v>
      </c>
      <c r="I589" s="138">
        <f t="shared" ca="1" si="34"/>
        <v>716.3125</v>
      </c>
      <c r="J589" s="139">
        <v>573.04999999999995</v>
      </c>
      <c r="K589" s="140">
        <v>716.31</v>
      </c>
    </row>
    <row r="590" spans="1:11">
      <c r="A590" t="s">
        <v>2262</v>
      </c>
      <c r="B590" s="134" t="s">
        <v>1444</v>
      </c>
      <c r="C590" s="135" t="s">
        <v>1445</v>
      </c>
      <c r="D590" s="136" t="s">
        <v>1446</v>
      </c>
      <c r="E590" s="135" t="s">
        <v>26</v>
      </c>
      <c r="F590" s="135" t="s">
        <v>22</v>
      </c>
      <c r="G590" s="137">
        <v>1</v>
      </c>
      <c r="H590" s="138">
        <v>244.34</v>
      </c>
      <c r="I590" s="138">
        <f t="shared" ca="1" si="34"/>
        <v>305.42500000000001</v>
      </c>
      <c r="J590" s="139">
        <v>244.34</v>
      </c>
      <c r="K590" s="140">
        <v>305.43</v>
      </c>
    </row>
    <row r="591" spans="1:11" ht="30" customHeight="1">
      <c r="A591" t="s">
        <v>2263</v>
      </c>
      <c r="B591" s="134" t="s">
        <v>1447</v>
      </c>
      <c r="C591" s="135" t="s">
        <v>1448</v>
      </c>
      <c r="D591" s="136" t="s">
        <v>1449</v>
      </c>
      <c r="E591" s="135" t="s">
        <v>14</v>
      </c>
      <c r="F591" s="135" t="s">
        <v>22</v>
      </c>
      <c r="G591" s="137">
        <v>1</v>
      </c>
      <c r="H591" s="138">
        <v>127.11</v>
      </c>
      <c r="I591" s="138">
        <f t="shared" ca="1" si="34"/>
        <v>158.88749999999999</v>
      </c>
      <c r="J591" s="139">
        <v>127.6</v>
      </c>
      <c r="K591" s="140">
        <f t="shared" ca="1" si="35"/>
        <v>158.88749999999999</v>
      </c>
    </row>
    <row r="592" spans="1:11" ht="28.2" customHeight="1">
      <c r="A592" t="s">
        <v>2264</v>
      </c>
      <c r="B592" s="134" t="s">
        <v>1450</v>
      </c>
      <c r="C592" s="135" t="s">
        <v>1451</v>
      </c>
      <c r="D592" s="136" t="s">
        <v>1452</v>
      </c>
      <c r="E592" s="135" t="s">
        <v>14</v>
      </c>
      <c r="F592" s="135" t="s">
        <v>22</v>
      </c>
      <c r="G592" s="137">
        <v>8</v>
      </c>
      <c r="H592" s="138">
        <v>631.22</v>
      </c>
      <c r="I592" s="138">
        <f t="shared" ca="1" si="34"/>
        <v>789.02500000000009</v>
      </c>
      <c r="J592" s="139">
        <v>5062.4799999999996</v>
      </c>
      <c r="K592" s="140">
        <v>6312.24</v>
      </c>
    </row>
    <row r="593" spans="1:11" ht="31.8" customHeight="1">
      <c r="A593" t="s">
        <v>2265</v>
      </c>
      <c r="B593" s="134" t="s">
        <v>1453</v>
      </c>
      <c r="C593" s="135" t="s">
        <v>1454</v>
      </c>
      <c r="D593" s="136" t="s">
        <v>1455</v>
      </c>
      <c r="E593" s="135" t="s">
        <v>14</v>
      </c>
      <c r="F593" s="135" t="s">
        <v>22</v>
      </c>
      <c r="G593" s="137">
        <v>2</v>
      </c>
      <c r="H593" s="138">
        <v>3376.78</v>
      </c>
      <c r="I593" s="138">
        <f t="shared" ca="1" si="34"/>
        <v>4220.9750000000004</v>
      </c>
      <c r="J593" s="139">
        <v>6756.74</v>
      </c>
      <c r="K593" s="140">
        <v>8441.9599999999991</v>
      </c>
    </row>
    <row r="594" spans="1:11">
      <c r="A594" t="s">
        <v>2266</v>
      </c>
      <c r="B594" s="131" t="s">
        <v>1456</v>
      </c>
      <c r="C594" s="154" t="s">
        <v>1457</v>
      </c>
      <c r="D594" s="154"/>
      <c r="E594" s="154"/>
      <c r="F594" s="154"/>
      <c r="G594" s="154"/>
      <c r="H594" s="154"/>
      <c r="I594" s="131"/>
      <c r="J594" s="132">
        <v>103815.71200000001</v>
      </c>
      <c r="K594" s="133">
        <f ca="1">SUM(K595:K616)</f>
        <v>128789.95000000001</v>
      </c>
    </row>
    <row r="595" spans="1:11" ht="20.399999999999999">
      <c r="A595" t="s">
        <v>2267</v>
      </c>
      <c r="B595" s="134" t="s">
        <v>1458</v>
      </c>
      <c r="C595" s="135" t="s">
        <v>1459</v>
      </c>
      <c r="D595" s="136" t="s">
        <v>1460</v>
      </c>
      <c r="E595" s="135" t="s">
        <v>14</v>
      </c>
      <c r="F595" s="135" t="s">
        <v>30</v>
      </c>
      <c r="G595" s="137">
        <v>1803.5</v>
      </c>
      <c r="H595" s="138">
        <v>16.920000000000002</v>
      </c>
      <c r="I595" s="138">
        <f t="shared" ca="1" si="34"/>
        <v>21.150000000000002</v>
      </c>
      <c r="J595" s="139">
        <v>31038.235000000001</v>
      </c>
      <c r="K595" s="140">
        <f t="shared" ca="1" si="35"/>
        <v>38144.025000000001</v>
      </c>
    </row>
    <row r="596" spans="1:11" ht="29.4" customHeight="1">
      <c r="A596" t="s">
        <v>2268</v>
      </c>
      <c r="B596" s="134" t="s">
        <v>1461</v>
      </c>
      <c r="C596" s="135" t="s">
        <v>1462</v>
      </c>
      <c r="D596" s="136" t="s">
        <v>1463</v>
      </c>
      <c r="E596" s="135" t="s">
        <v>14</v>
      </c>
      <c r="F596" s="135" t="s">
        <v>30</v>
      </c>
      <c r="G596" s="137">
        <v>164.5</v>
      </c>
      <c r="H596" s="138">
        <v>19.8</v>
      </c>
      <c r="I596" s="138">
        <f t="shared" ca="1" si="34"/>
        <v>24.75</v>
      </c>
      <c r="J596" s="139">
        <v>3304.8049999999998</v>
      </c>
      <c r="K596" s="140">
        <f t="shared" ca="1" si="35"/>
        <v>4071.375</v>
      </c>
    </row>
    <row r="597" spans="1:11" ht="28.8" customHeight="1">
      <c r="A597" t="s">
        <v>2269</v>
      </c>
      <c r="B597" s="134" t="s">
        <v>1464</v>
      </c>
      <c r="C597" s="135" t="s">
        <v>1465</v>
      </c>
      <c r="D597" s="136" t="s">
        <v>1466</v>
      </c>
      <c r="E597" s="135" t="s">
        <v>14</v>
      </c>
      <c r="F597" s="135" t="s">
        <v>30</v>
      </c>
      <c r="G597" s="137">
        <v>1.1000000000000001</v>
      </c>
      <c r="H597" s="138">
        <v>12.72</v>
      </c>
      <c r="I597" s="138">
        <f t="shared" ca="1" si="34"/>
        <v>15.9</v>
      </c>
      <c r="J597" s="139">
        <v>14.201000000000001</v>
      </c>
      <c r="K597" s="140">
        <f t="shared" ca="1" si="35"/>
        <v>17.490000000000002</v>
      </c>
    </row>
    <row r="598" spans="1:11" ht="33" customHeight="1">
      <c r="A598" t="s">
        <v>2270</v>
      </c>
      <c r="B598" s="134" t="s">
        <v>1467</v>
      </c>
      <c r="C598" s="135" t="s">
        <v>1468</v>
      </c>
      <c r="D598" s="136" t="s">
        <v>1469</v>
      </c>
      <c r="E598" s="135" t="s">
        <v>14</v>
      </c>
      <c r="F598" s="135" t="s">
        <v>30</v>
      </c>
      <c r="G598" s="137">
        <v>3</v>
      </c>
      <c r="H598" s="138">
        <v>8.31</v>
      </c>
      <c r="I598" s="138">
        <f t="shared" ca="1" si="34"/>
        <v>10.387500000000001</v>
      </c>
      <c r="J598" s="139">
        <v>25.259999999999998</v>
      </c>
      <c r="K598" s="140">
        <v>31.17</v>
      </c>
    </row>
    <row r="599" spans="1:11" ht="27" customHeight="1">
      <c r="A599" t="s">
        <v>2271</v>
      </c>
      <c r="B599" s="134" t="s">
        <v>1470</v>
      </c>
      <c r="C599" s="135" t="s">
        <v>1471</v>
      </c>
      <c r="D599" s="136" t="s">
        <v>1472</v>
      </c>
      <c r="E599" s="135" t="s">
        <v>26</v>
      </c>
      <c r="F599" s="135" t="s">
        <v>30</v>
      </c>
      <c r="G599" s="137">
        <v>59.7</v>
      </c>
      <c r="H599" s="138">
        <v>32.35</v>
      </c>
      <c r="I599" s="138">
        <f t="shared" ca="1" si="34"/>
        <v>40.4375</v>
      </c>
      <c r="J599" s="139">
        <v>1931.2950000000001</v>
      </c>
      <c r="K599" s="140">
        <v>2414.27</v>
      </c>
    </row>
    <row r="600" spans="1:11" ht="27.6" customHeight="1">
      <c r="A600" t="s">
        <v>2272</v>
      </c>
      <c r="B600" s="134" t="s">
        <v>1473</v>
      </c>
      <c r="C600" s="135" t="s">
        <v>1474</v>
      </c>
      <c r="D600" s="136" t="s">
        <v>1475</v>
      </c>
      <c r="E600" s="135" t="s">
        <v>26</v>
      </c>
      <c r="F600" s="135" t="s">
        <v>30</v>
      </c>
      <c r="G600" s="137">
        <v>52.4</v>
      </c>
      <c r="H600" s="138">
        <v>46.27</v>
      </c>
      <c r="I600" s="138">
        <f t="shared" ca="1" si="34"/>
        <v>57.837500000000006</v>
      </c>
      <c r="J600" s="139">
        <v>2424.5480000000002</v>
      </c>
      <c r="K600" s="140">
        <v>3030.82</v>
      </c>
    </row>
    <row r="601" spans="1:11" ht="26.4" customHeight="1">
      <c r="A601" t="s">
        <v>2273</v>
      </c>
      <c r="B601" s="134" t="s">
        <v>1476</v>
      </c>
      <c r="C601" s="135" t="s">
        <v>1477</v>
      </c>
      <c r="D601" s="136" t="s">
        <v>1478</v>
      </c>
      <c r="E601" s="135" t="s">
        <v>26</v>
      </c>
      <c r="F601" s="135" t="s">
        <v>30</v>
      </c>
      <c r="G601" s="137">
        <v>147.1</v>
      </c>
      <c r="H601" s="138">
        <v>39.869999999999997</v>
      </c>
      <c r="I601" s="138">
        <f t="shared" ca="1" si="34"/>
        <v>49.837499999999999</v>
      </c>
      <c r="J601" s="139">
        <v>5864.8769999999995</v>
      </c>
      <c r="K601" s="140">
        <v>7331.46</v>
      </c>
    </row>
    <row r="602" spans="1:11" ht="28.2" customHeight="1">
      <c r="A602" t="s">
        <v>2274</v>
      </c>
      <c r="B602" s="134" t="s">
        <v>1479</v>
      </c>
      <c r="C602" s="135" t="s">
        <v>1480</v>
      </c>
      <c r="D602" s="136" t="s">
        <v>1481</v>
      </c>
      <c r="E602" s="135" t="s">
        <v>26</v>
      </c>
      <c r="F602" s="135" t="s">
        <v>30</v>
      </c>
      <c r="G602" s="137">
        <v>55</v>
      </c>
      <c r="H602" s="138">
        <v>55.79</v>
      </c>
      <c r="I602" s="138">
        <f t="shared" ca="1" si="34"/>
        <v>69.737499999999997</v>
      </c>
      <c r="J602" s="139">
        <v>3068.45</v>
      </c>
      <c r="K602" s="140">
        <v>3835.7</v>
      </c>
    </row>
    <row r="603" spans="1:11" ht="33" customHeight="1">
      <c r="A603" t="s">
        <v>2275</v>
      </c>
      <c r="B603" s="134" t="s">
        <v>1482</v>
      </c>
      <c r="C603" s="135" t="s">
        <v>1319</v>
      </c>
      <c r="D603" s="136" t="s">
        <v>1320</v>
      </c>
      <c r="E603" s="135" t="s">
        <v>26</v>
      </c>
      <c r="F603" s="135" t="s">
        <v>30</v>
      </c>
      <c r="G603" s="137">
        <v>962</v>
      </c>
      <c r="H603" s="138">
        <v>28.85</v>
      </c>
      <c r="I603" s="138">
        <f t="shared" ca="1" si="34"/>
        <v>36.0625</v>
      </c>
      <c r="J603" s="139">
        <v>27753.7</v>
      </c>
      <c r="K603" s="140">
        <v>34689.72</v>
      </c>
    </row>
    <row r="604" spans="1:11" ht="30" customHeight="1">
      <c r="A604" t="s">
        <v>2276</v>
      </c>
      <c r="B604" s="134" t="s">
        <v>1483</v>
      </c>
      <c r="C604" s="135" t="s">
        <v>1484</v>
      </c>
      <c r="D604" s="136" t="s">
        <v>1485</v>
      </c>
      <c r="E604" s="135" t="s">
        <v>26</v>
      </c>
      <c r="F604" s="135" t="s">
        <v>30</v>
      </c>
      <c r="G604" s="137">
        <v>127.1</v>
      </c>
      <c r="H604" s="138">
        <v>82.81</v>
      </c>
      <c r="I604" s="138">
        <f t="shared" ca="1" si="34"/>
        <v>103.5125</v>
      </c>
      <c r="J604" s="139">
        <v>10525.151</v>
      </c>
      <c r="K604" s="140">
        <v>13156.12</v>
      </c>
    </row>
    <row r="605" spans="1:11" ht="34.200000000000003" customHeight="1">
      <c r="A605" t="s">
        <v>2277</v>
      </c>
      <c r="B605" s="134" t="s">
        <v>1486</v>
      </c>
      <c r="C605" s="135" t="s">
        <v>1487</v>
      </c>
      <c r="D605" s="136" t="s">
        <v>1488</v>
      </c>
      <c r="E605" s="135" t="s">
        <v>14</v>
      </c>
      <c r="F605" s="135" t="s">
        <v>22</v>
      </c>
      <c r="G605" s="137">
        <v>6</v>
      </c>
      <c r="H605" s="138">
        <v>162.43</v>
      </c>
      <c r="I605" s="138">
        <f t="shared" ca="1" si="34"/>
        <v>203.03750000000002</v>
      </c>
      <c r="J605" s="139">
        <v>988.37999999999988</v>
      </c>
      <c r="K605" s="140">
        <v>1218.24</v>
      </c>
    </row>
    <row r="606" spans="1:11" ht="27" customHeight="1">
      <c r="A606" t="s">
        <v>2278</v>
      </c>
      <c r="B606" s="134" t="s">
        <v>1489</v>
      </c>
      <c r="C606" s="135" t="s">
        <v>1490</v>
      </c>
      <c r="D606" s="136" t="s">
        <v>1491</v>
      </c>
      <c r="E606" s="135" t="s">
        <v>14</v>
      </c>
      <c r="F606" s="135" t="s">
        <v>22</v>
      </c>
      <c r="G606" s="137">
        <v>14</v>
      </c>
      <c r="H606" s="138">
        <v>255.76</v>
      </c>
      <c r="I606" s="138">
        <f t="shared" ca="1" si="34"/>
        <v>319.7</v>
      </c>
      <c r="J606" s="139">
        <v>3631.1800000000003</v>
      </c>
      <c r="K606" s="140">
        <v>4475.8</v>
      </c>
    </row>
    <row r="607" spans="1:11" ht="28.8" customHeight="1">
      <c r="A607" t="s">
        <v>2279</v>
      </c>
      <c r="B607" s="134" t="s">
        <v>1492</v>
      </c>
      <c r="C607" s="135" t="s">
        <v>1325</v>
      </c>
      <c r="D607" s="136" t="s">
        <v>1326</v>
      </c>
      <c r="E607" s="135" t="s">
        <v>14</v>
      </c>
      <c r="F607" s="135" t="s">
        <v>22</v>
      </c>
      <c r="G607" s="137">
        <v>14</v>
      </c>
      <c r="H607" s="138">
        <v>17.579999999999998</v>
      </c>
      <c r="I607" s="138">
        <f t="shared" ca="1" si="34"/>
        <v>21.974999999999998</v>
      </c>
      <c r="J607" s="139">
        <v>251.01999999999998</v>
      </c>
      <c r="K607" s="140">
        <v>307.72000000000003</v>
      </c>
    </row>
    <row r="608" spans="1:11" ht="21.6" customHeight="1">
      <c r="A608" t="s">
        <v>2280</v>
      </c>
      <c r="B608" s="134" t="s">
        <v>1493</v>
      </c>
      <c r="C608" s="135" t="s">
        <v>1496</v>
      </c>
      <c r="D608" s="136" t="s">
        <v>1497</v>
      </c>
      <c r="E608" s="135" t="s">
        <v>14</v>
      </c>
      <c r="F608" s="135" t="s">
        <v>22</v>
      </c>
      <c r="G608" s="137">
        <v>82</v>
      </c>
      <c r="H608" s="138">
        <v>15.49</v>
      </c>
      <c r="I608" s="138">
        <f t="shared" ca="1" si="34"/>
        <v>19.362500000000001</v>
      </c>
      <c r="J608" s="139">
        <v>1291.5</v>
      </c>
      <c r="K608" s="140">
        <v>1587.52</v>
      </c>
    </row>
    <row r="609" spans="1:11" ht="23.4" customHeight="1">
      <c r="A609" t="s">
        <v>2281</v>
      </c>
      <c r="B609" s="134" t="s">
        <v>1494</v>
      </c>
      <c r="C609" s="135" t="s">
        <v>1499</v>
      </c>
      <c r="D609" s="136" t="s">
        <v>1500</v>
      </c>
      <c r="E609" s="135" t="s">
        <v>14</v>
      </c>
      <c r="F609" s="135" t="s">
        <v>22</v>
      </c>
      <c r="G609" s="137">
        <v>165</v>
      </c>
      <c r="H609" s="138">
        <v>28.08</v>
      </c>
      <c r="I609" s="138">
        <f t="shared" ca="1" si="34"/>
        <v>35.099999999999994</v>
      </c>
      <c r="J609" s="139">
        <v>4690.95</v>
      </c>
      <c r="K609" s="140">
        <v>5791.5</v>
      </c>
    </row>
    <row r="610" spans="1:11" ht="25.2" customHeight="1">
      <c r="A610" t="s">
        <v>2282</v>
      </c>
      <c r="B610" s="134" t="s">
        <v>1495</v>
      </c>
      <c r="C610" s="135" t="s">
        <v>1503</v>
      </c>
      <c r="D610" s="136" t="s">
        <v>1504</v>
      </c>
      <c r="E610" s="135" t="s">
        <v>14</v>
      </c>
      <c r="F610" s="135" t="s">
        <v>22</v>
      </c>
      <c r="G610" s="137">
        <v>16</v>
      </c>
      <c r="H610" s="138">
        <v>39.5</v>
      </c>
      <c r="I610" s="138">
        <f t="shared" ca="1" si="34"/>
        <v>49.375</v>
      </c>
      <c r="J610" s="139">
        <v>638.24</v>
      </c>
      <c r="K610" s="140">
        <v>790.08</v>
      </c>
    </row>
    <row r="611" spans="1:11" ht="28.2" customHeight="1">
      <c r="A611" t="s">
        <v>2283</v>
      </c>
      <c r="B611" s="134" t="s">
        <v>1498</v>
      </c>
      <c r="C611" s="135" t="s">
        <v>1506</v>
      </c>
      <c r="D611" s="136" t="s">
        <v>1507</v>
      </c>
      <c r="E611" s="135" t="s">
        <v>14</v>
      </c>
      <c r="F611" s="135" t="s">
        <v>22</v>
      </c>
      <c r="G611" s="137">
        <v>34</v>
      </c>
      <c r="H611" s="138">
        <v>34.32</v>
      </c>
      <c r="I611" s="138">
        <f t="shared" ca="1" si="34"/>
        <v>42.9</v>
      </c>
      <c r="J611" s="139">
        <v>1179.46</v>
      </c>
      <c r="K611" s="140">
        <v>1458.6</v>
      </c>
    </row>
    <row r="612" spans="1:11" ht="31.8" customHeight="1">
      <c r="A612" t="s">
        <v>2284</v>
      </c>
      <c r="B612" s="134" t="s">
        <v>1501</v>
      </c>
      <c r="C612" s="135">
        <v>92693</v>
      </c>
      <c r="D612" s="136" t="s">
        <v>1871</v>
      </c>
      <c r="E612" s="135" t="s">
        <v>14</v>
      </c>
      <c r="F612" s="135" t="s">
        <v>22</v>
      </c>
      <c r="G612" s="137">
        <v>2</v>
      </c>
      <c r="H612" s="138">
        <v>14.51</v>
      </c>
      <c r="I612" s="138">
        <f t="shared" ca="1" si="34"/>
        <v>18.137499999999999</v>
      </c>
      <c r="J612" s="139">
        <v>36.44</v>
      </c>
      <c r="K612" s="140">
        <v>36.28</v>
      </c>
    </row>
    <row r="613" spans="1:11" ht="33" customHeight="1">
      <c r="A613" t="s">
        <v>2285</v>
      </c>
      <c r="B613" s="134" t="s">
        <v>1502</v>
      </c>
      <c r="C613" s="135" t="s">
        <v>1510</v>
      </c>
      <c r="D613" s="136" t="s">
        <v>1511</v>
      </c>
      <c r="E613" s="135" t="s">
        <v>14</v>
      </c>
      <c r="F613" s="135" t="s">
        <v>22</v>
      </c>
      <c r="G613" s="137">
        <v>14</v>
      </c>
      <c r="H613" s="138">
        <v>53</v>
      </c>
      <c r="I613" s="138">
        <f t="shared" ca="1" si="34"/>
        <v>66.25</v>
      </c>
      <c r="J613" s="139">
        <v>747.88</v>
      </c>
      <c r="K613" s="140">
        <f t="shared" ca="1" si="35"/>
        <v>927.5</v>
      </c>
    </row>
    <row r="614" spans="1:11" ht="20.399999999999999">
      <c r="A614" t="s">
        <v>2286</v>
      </c>
      <c r="B614" s="134" t="s">
        <v>1505</v>
      </c>
      <c r="C614" s="135" t="s">
        <v>1512</v>
      </c>
      <c r="D614" s="136" t="s">
        <v>1513</v>
      </c>
      <c r="E614" s="135" t="s">
        <v>14</v>
      </c>
      <c r="F614" s="135" t="s">
        <v>22</v>
      </c>
      <c r="G614" s="137">
        <v>25</v>
      </c>
      <c r="H614" s="138">
        <v>118.24</v>
      </c>
      <c r="I614" s="138">
        <f t="shared" ca="1" si="34"/>
        <v>147.79999999999998</v>
      </c>
      <c r="J614" s="139">
        <v>2968.5</v>
      </c>
      <c r="K614" s="140">
        <v>3695</v>
      </c>
    </row>
    <row r="615" spans="1:11" ht="32.4" customHeight="1">
      <c r="A615" t="s">
        <v>2287</v>
      </c>
      <c r="B615" s="134" t="s">
        <v>1508</v>
      </c>
      <c r="C615" s="135" t="s">
        <v>1514</v>
      </c>
      <c r="D615" s="136" t="s">
        <v>1515</v>
      </c>
      <c r="E615" s="135" t="s">
        <v>14</v>
      </c>
      <c r="F615" s="135" t="s">
        <v>22</v>
      </c>
      <c r="G615" s="137">
        <v>28</v>
      </c>
      <c r="H615" s="138">
        <v>33.880000000000003</v>
      </c>
      <c r="I615" s="138">
        <f t="shared" ca="1" si="34"/>
        <v>42.35</v>
      </c>
      <c r="J615" s="139">
        <v>960.68000000000006</v>
      </c>
      <c r="K615" s="140">
        <v>1185.8</v>
      </c>
    </row>
    <row r="616" spans="1:11" ht="26.4" customHeight="1">
      <c r="A616" t="s">
        <v>2288</v>
      </c>
      <c r="B616" s="134" t="s">
        <v>1509</v>
      </c>
      <c r="C616" s="135" t="s">
        <v>1516</v>
      </c>
      <c r="D616" s="136" t="s">
        <v>1517</v>
      </c>
      <c r="E616" s="135" t="s">
        <v>14</v>
      </c>
      <c r="F616" s="135" t="s">
        <v>22</v>
      </c>
      <c r="G616" s="137">
        <v>16</v>
      </c>
      <c r="H616" s="138">
        <v>29.69</v>
      </c>
      <c r="I616" s="138">
        <f t="shared" ca="1" si="34"/>
        <v>37.112500000000004</v>
      </c>
      <c r="J616" s="139">
        <v>480.96</v>
      </c>
      <c r="K616" s="140">
        <v>593.76</v>
      </c>
    </row>
    <row r="617" spans="1:11">
      <c r="A617" t="s">
        <v>2289</v>
      </c>
      <c r="B617" s="131" t="s">
        <v>1518</v>
      </c>
      <c r="C617" s="154" t="s">
        <v>1519</v>
      </c>
      <c r="D617" s="154"/>
      <c r="E617" s="154"/>
      <c r="F617" s="154"/>
      <c r="G617" s="154"/>
      <c r="H617" s="154"/>
      <c r="I617" s="131"/>
      <c r="J617" s="132">
        <v>320261.50630000001</v>
      </c>
      <c r="K617" s="133">
        <f>SUM(K618:K632)</f>
        <v>398796.15</v>
      </c>
    </row>
    <row r="618" spans="1:11" ht="20.399999999999999">
      <c r="A618" t="s">
        <v>2290</v>
      </c>
      <c r="B618" s="134" t="s">
        <v>1520</v>
      </c>
      <c r="C618" s="135" t="s">
        <v>1334</v>
      </c>
      <c r="D618" s="136" t="s">
        <v>1335</v>
      </c>
      <c r="E618" s="135" t="s">
        <v>14</v>
      </c>
      <c r="F618" s="135" t="s">
        <v>30</v>
      </c>
      <c r="G618" s="137">
        <v>9737.83</v>
      </c>
      <c r="H618" s="138">
        <v>3.83</v>
      </c>
      <c r="I618" s="138">
        <f t="shared" ca="1" si="34"/>
        <v>4.7874999999999996</v>
      </c>
      <c r="J618" s="139">
        <v>37588.023800000003</v>
      </c>
      <c r="K618" s="140">
        <v>46644.21</v>
      </c>
    </row>
    <row r="619" spans="1:11" ht="20.399999999999999">
      <c r="A619" t="s">
        <v>2291</v>
      </c>
      <c r="B619" s="134" t="s">
        <v>1521</v>
      </c>
      <c r="C619" s="135" t="s">
        <v>1522</v>
      </c>
      <c r="D619" s="136" t="s">
        <v>1523</v>
      </c>
      <c r="E619" s="135" t="s">
        <v>14</v>
      </c>
      <c r="F619" s="135" t="s">
        <v>30</v>
      </c>
      <c r="G619" s="137">
        <v>4192</v>
      </c>
      <c r="H619" s="138">
        <v>5.89</v>
      </c>
      <c r="I619" s="138">
        <f t="shared" ca="1" si="34"/>
        <v>7.3624999999999998</v>
      </c>
      <c r="J619" s="139">
        <v>24858.560000000001</v>
      </c>
      <c r="K619" s="140">
        <v>30853.119999999999</v>
      </c>
    </row>
    <row r="620" spans="1:11" ht="20.399999999999999">
      <c r="A620" t="s">
        <v>2292</v>
      </c>
      <c r="B620" s="134" t="s">
        <v>1524</v>
      </c>
      <c r="C620" s="135" t="s">
        <v>1525</v>
      </c>
      <c r="D620" s="136" t="s">
        <v>1526</v>
      </c>
      <c r="E620" s="135" t="s">
        <v>14</v>
      </c>
      <c r="F620" s="135" t="s">
        <v>30</v>
      </c>
      <c r="G620" s="137">
        <v>5078.8999999999996</v>
      </c>
      <c r="H620" s="138">
        <v>8.2100000000000009</v>
      </c>
      <c r="I620" s="138">
        <f t="shared" ca="1" si="34"/>
        <v>10.262500000000001</v>
      </c>
      <c r="J620" s="139">
        <v>42002.502999999997</v>
      </c>
      <c r="K620" s="140">
        <v>52109.51</v>
      </c>
    </row>
    <row r="621" spans="1:11" ht="20.399999999999999">
      <c r="A621" t="s">
        <v>2293</v>
      </c>
      <c r="B621" s="134" t="s">
        <v>1527</v>
      </c>
      <c r="C621" s="135" t="s">
        <v>1528</v>
      </c>
      <c r="D621" s="136" t="s">
        <v>1529</v>
      </c>
      <c r="E621" s="135" t="s">
        <v>14</v>
      </c>
      <c r="F621" s="135" t="s">
        <v>30</v>
      </c>
      <c r="G621" s="137">
        <v>1965.35</v>
      </c>
      <c r="H621" s="138">
        <v>14.6</v>
      </c>
      <c r="I621" s="138">
        <f t="shared" ca="1" si="34"/>
        <v>18.25</v>
      </c>
      <c r="J621" s="139">
        <v>28870.9915</v>
      </c>
      <c r="K621" s="140">
        <v>35867.64</v>
      </c>
    </row>
    <row r="622" spans="1:11" ht="23.4" customHeight="1">
      <c r="A622" t="s">
        <v>2294</v>
      </c>
      <c r="B622" s="134" t="s">
        <v>1530</v>
      </c>
      <c r="C622" s="135" t="s">
        <v>1531</v>
      </c>
      <c r="D622" s="136" t="s">
        <v>1532</v>
      </c>
      <c r="E622" s="135" t="s">
        <v>14</v>
      </c>
      <c r="F622" s="135" t="s">
        <v>30</v>
      </c>
      <c r="G622" s="137">
        <v>462.8</v>
      </c>
      <c r="H622" s="138">
        <v>6.28</v>
      </c>
      <c r="I622" s="138">
        <f t="shared" ca="1" si="34"/>
        <v>7.8500000000000005</v>
      </c>
      <c r="J622" s="139">
        <v>2924.8960000000002</v>
      </c>
      <c r="K622" s="140">
        <v>3632.98</v>
      </c>
    </row>
    <row r="623" spans="1:11" ht="20.399999999999999">
      <c r="A623" t="s">
        <v>2295</v>
      </c>
      <c r="B623" s="134" t="s">
        <v>1533</v>
      </c>
      <c r="C623" s="135" t="s">
        <v>1534</v>
      </c>
      <c r="D623" s="136" t="s">
        <v>1535</v>
      </c>
      <c r="E623" s="135" t="s">
        <v>14</v>
      </c>
      <c r="F623" s="135" t="s">
        <v>30</v>
      </c>
      <c r="G623" s="137">
        <v>161</v>
      </c>
      <c r="H623" s="138">
        <v>8.9700000000000006</v>
      </c>
      <c r="I623" s="138">
        <f t="shared" ca="1" si="34"/>
        <v>11.2125</v>
      </c>
      <c r="J623" s="139">
        <v>1445.78</v>
      </c>
      <c r="K623" s="140">
        <v>1804.81</v>
      </c>
    </row>
    <row r="624" spans="1:11" ht="31.2" customHeight="1">
      <c r="A624" t="s">
        <v>2296</v>
      </c>
      <c r="B624" s="134" t="s">
        <v>1536</v>
      </c>
      <c r="C624" s="135" t="s">
        <v>1537</v>
      </c>
      <c r="D624" s="136" t="s">
        <v>1538</v>
      </c>
      <c r="E624" s="135" t="s">
        <v>14</v>
      </c>
      <c r="F624" s="135" t="s">
        <v>30</v>
      </c>
      <c r="G624" s="137">
        <v>606.4</v>
      </c>
      <c r="H624" s="138">
        <v>14.2</v>
      </c>
      <c r="I624" s="138">
        <f t="shared" ca="1" si="34"/>
        <v>17.75</v>
      </c>
      <c r="J624" s="139">
        <v>8616.9439999999995</v>
      </c>
      <c r="K624" s="140">
        <v>10763.6</v>
      </c>
    </row>
    <row r="625" spans="1:11" ht="31.2" customHeight="1">
      <c r="A625" t="s">
        <v>2297</v>
      </c>
      <c r="B625" s="134" t="s">
        <v>1539</v>
      </c>
      <c r="C625" s="135" t="s">
        <v>1540</v>
      </c>
      <c r="D625" s="136" t="s">
        <v>1541</v>
      </c>
      <c r="E625" s="135" t="s">
        <v>14</v>
      </c>
      <c r="F625" s="135" t="s">
        <v>30</v>
      </c>
      <c r="G625" s="137">
        <v>175.5</v>
      </c>
      <c r="H625" s="138">
        <v>23.8</v>
      </c>
      <c r="I625" s="138">
        <f t="shared" ca="1" si="34"/>
        <v>29.75</v>
      </c>
      <c r="J625" s="139">
        <v>4189.1850000000004</v>
      </c>
      <c r="K625" s="140">
        <v>5221.13</v>
      </c>
    </row>
    <row r="626" spans="1:11" ht="20.399999999999999">
      <c r="A626" t="s">
        <v>2298</v>
      </c>
      <c r="B626" s="134" t="s">
        <v>1542</v>
      </c>
      <c r="C626" s="135" t="s">
        <v>1543</v>
      </c>
      <c r="D626" s="136" t="s">
        <v>1544</v>
      </c>
      <c r="E626" s="135" t="s">
        <v>14</v>
      </c>
      <c r="F626" s="135" t="s">
        <v>30</v>
      </c>
      <c r="G626" s="137">
        <v>190.8</v>
      </c>
      <c r="H626" s="138">
        <v>32.81</v>
      </c>
      <c r="I626" s="138">
        <f t="shared" ca="1" si="34"/>
        <v>41.012500000000003</v>
      </c>
      <c r="J626" s="139">
        <v>6277.32</v>
      </c>
      <c r="K626" s="140">
        <v>7824.71</v>
      </c>
    </row>
    <row r="627" spans="1:11" ht="36.6" customHeight="1">
      <c r="A627" t="s">
        <v>2299</v>
      </c>
      <c r="B627" s="134" t="s">
        <v>1545</v>
      </c>
      <c r="C627" s="135" t="s">
        <v>1546</v>
      </c>
      <c r="D627" s="136" t="s">
        <v>1547</v>
      </c>
      <c r="E627" s="135" t="s">
        <v>14</v>
      </c>
      <c r="F627" s="135" t="s">
        <v>30</v>
      </c>
      <c r="G627" s="137">
        <v>132.30000000000001</v>
      </c>
      <c r="H627" s="138">
        <v>47.52</v>
      </c>
      <c r="I627" s="138">
        <f t="shared" ref="I627:I656" ca="1" si="36">(H627*J$5)+H627</f>
        <v>59.400000000000006</v>
      </c>
      <c r="J627" s="139">
        <v>6298.8029999999999</v>
      </c>
      <c r="K627" s="140">
        <v>7858.62</v>
      </c>
    </row>
    <row r="628" spans="1:11" ht="36.6" customHeight="1">
      <c r="A628" t="s">
        <v>2300</v>
      </c>
      <c r="B628" s="134" t="s">
        <v>1548</v>
      </c>
      <c r="C628" s="135" t="s">
        <v>1549</v>
      </c>
      <c r="D628" s="136" t="s">
        <v>1550</v>
      </c>
      <c r="E628" s="135" t="s">
        <v>14</v>
      </c>
      <c r="F628" s="135" t="s">
        <v>30</v>
      </c>
      <c r="G628" s="137">
        <v>223.6</v>
      </c>
      <c r="H628" s="138">
        <v>84.89</v>
      </c>
      <c r="I628" s="138">
        <f t="shared" ca="1" si="36"/>
        <v>106.1125</v>
      </c>
      <c r="J628" s="139">
        <v>19012.707999999999</v>
      </c>
      <c r="K628" s="140">
        <v>23726.2</v>
      </c>
    </row>
    <row r="629" spans="1:11" ht="27.6" customHeight="1">
      <c r="A629" t="s">
        <v>2301</v>
      </c>
      <c r="B629" s="134" t="s">
        <v>1551</v>
      </c>
      <c r="C629" s="135" t="s">
        <v>1552</v>
      </c>
      <c r="D629" s="136" t="s">
        <v>1553</v>
      </c>
      <c r="E629" s="135" t="s">
        <v>14</v>
      </c>
      <c r="F629" s="135" t="s">
        <v>30</v>
      </c>
      <c r="G629" s="137">
        <v>52.8</v>
      </c>
      <c r="H629" s="138">
        <v>110.23</v>
      </c>
      <c r="I629" s="138">
        <f t="shared" ca="1" si="36"/>
        <v>137.78749999999999</v>
      </c>
      <c r="J629" s="139">
        <v>5829.6480000000001</v>
      </c>
      <c r="K629" s="140">
        <v>7275.31</v>
      </c>
    </row>
    <row r="630" spans="1:11" ht="20.399999999999999">
      <c r="A630" t="s">
        <v>2302</v>
      </c>
      <c r="B630" s="134" t="s">
        <v>1554</v>
      </c>
      <c r="C630" s="135" t="s">
        <v>1555</v>
      </c>
      <c r="D630" s="136" t="s">
        <v>1556</v>
      </c>
      <c r="E630" s="135" t="s">
        <v>14</v>
      </c>
      <c r="F630" s="135" t="s">
        <v>30</v>
      </c>
      <c r="G630" s="137">
        <v>61.6</v>
      </c>
      <c r="H630" s="138">
        <v>163.36000000000001</v>
      </c>
      <c r="I630" s="138">
        <f t="shared" ca="1" si="36"/>
        <v>204.20000000000002</v>
      </c>
      <c r="J630" s="139">
        <v>10077.76</v>
      </c>
      <c r="K630" s="140">
        <v>12578.72</v>
      </c>
    </row>
    <row r="631" spans="1:11" ht="28.2" customHeight="1">
      <c r="A631" t="s">
        <v>2303</v>
      </c>
      <c r="B631" s="134" t="s">
        <v>1557</v>
      </c>
      <c r="C631" s="135" t="s">
        <v>1558</v>
      </c>
      <c r="D631" s="136" t="s">
        <v>1559</v>
      </c>
      <c r="E631" s="135" t="s">
        <v>14</v>
      </c>
      <c r="F631" s="135" t="s">
        <v>30</v>
      </c>
      <c r="G631" s="137">
        <v>211.2</v>
      </c>
      <c r="H631" s="138">
        <v>216.18</v>
      </c>
      <c r="I631" s="138">
        <f t="shared" ca="1" si="36"/>
        <v>270.22500000000002</v>
      </c>
      <c r="J631" s="139">
        <v>45720.576000000001</v>
      </c>
      <c r="K631" s="140">
        <v>57072.58</v>
      </c>
    </row>
    <row r="632" spans="1:11" ht="20.399999999999999">
      <c r="A632" t="s">
        <v>2304</v>
      </c>
      <c r="B632" s="134" t="s">
        <v>1560</v>
      </c>
      <c r="C632" s="135" t="s">
        <v>1561</v>
      </c>
      <c r="D632" s="136" t="s">
        <v>1562</v>
      </c>
      <c r="E632" s="135" t="s">
        <v>14</v>
      </c>
      <c r="F632" s="135" t="s">
        <v>30</v>
      </c>
      <c r="G632" s="137">
        <v>273.60000000000002</v>
      </c>
      <c r="H632" s="138">
        <v>279.42</v>
      </c>
      <c r="I632" s="138">
        <f t="shared" ca="1" si="36"/>
        <v>349.27500000000003</v>
      </c>
      <c r="J632" s="139">
        <v>76547.808000000005</v>
      </c>
      <c r="K632" s="140">
        <v>95563.01</v>
      </c>
    </row>
    <row r="633" spans="1:11">
      <c r="A633" t="s">
        <v>2305</v>
      </c>
      <c r="B633" s="131" t="s">
        <v>1563</v>
      </c>
      <c r="C633" s="154" t="s">
        <v>1564</v>
      </c>
      <c r="D633" s="154"/>
      <c r="E633" s="154"/>
      <c r="F633" s="154"/>
      <c r="G633" s="154"/>
      <c r="H633" s="154"/>
      <c r="I633" s="131"/>
      <c r="J633" s="132">
        <v>36663.345000000001</v>
      </c>
      <c r="K633" s="143">
        <f ca="1">SUM(K634:K638)</f>
        <v>45788.22</v>
      </c>
    </row>
    <row r="634" spans="1:11" ht="25.2" customHeight="1">
      <c r="A634" t="s">
        <v>2306</v>
      </c>
      <c r="B634" s="134" t="s">
        <v>1565</v>
      </c>
      <c r="C634" s="135" t="s">
        <v>1566</v>
      </c>
      <c r="D634" s="136" t="s">
        <v>1567</v>
      </c>
      <c r="E634" s="135" t="s">
        <v>26</v>
      </c>
      <c r="F634" s="135" t="s">
        <v>30</v>
      </c>
      <c r="G634" s="137">
        <v>3.4</v>
      </c>
      <c r="H634" s="138">
        <v>145.66999999999999</v>
      </c>
      <c r="I634" s="138">
        <f t="shared" ca="1" si="36"/>
        <v>182.08749999999998</v>
      </c>
      <c r="J634" s="139">
        <v>495.27800000000002</v>
      </c>
      <c r="K634" s="141">
        <v>619.11</v>
      </c>
    </row>
    <row r="635" spans="1:11" ht="29.4" customHeight="1">
      <c r="A635" t="s">
        <v>2307</v>
      </c>
      <c r="B635" s="134" t="s">
        <v>1568</v>
      </c>
      <c r="C635" s="135" t="s">
        <v>1569</v>
      </c>
      <c r="D635" s="136" t="s">
        <v>1570</v>
      </c>
      <c r="E635" s="135" t="s">
        <v>26</v>
      </c>
      <c r="F635" s="135" t="s">
        <v>30</v>
      </c>
      <c r="G635" s="137">
        <v>45.7</v>
      </c>
      <c r="H635" s="138">
        <v>190.94</v>
      </c>
      <c r="I635" s="138">
        <f t="shared" ca="1" si="36"/>
        <v>238.67500000000001</v>
      </c>
      <c r="J635" s="139">
        <v>8725.9580000000005</v>
      </c>
      <c r="K635" s="140">
        <v>10907.68</v>
      </c>
    </row>
    <row r="636" spans="1:11" ht="20.399999999999999">
      <c r="A636" t="s">
        <v>2308</v>
      </c>
      <c r="B636" s="134" t="s">
        <v>1571</v>
      </c>
      <c r="C636" s="135" t="s">
        <v>1572</v>
      </c>
      <c r="D636" s="136" t="s">
        <v>1573</v>
      </c>
      <c r="E636" s="135" t="s">
        <v>26</v>
      </c>
      <c r="F636" s="135" t="s">
        <v>30</v>
      </c>
      <c r="G636" s="137">
        <v>211.6</v>
      </c>
      <c r="H636" s="138">
        <v>110.84</v>
      </c>
      <c r="I636" s="138">
        <f t="shared" ca="1" si="36"/>
        <v>138.55000000000001</v>
      </c>
      <c r="J636" s="139">
        <v>23453.743999999999</v>
      </c>
      <c r="K636" s="140">
        <f t="shared" ref="K636:K654" ca="1" si="37">I636*G636</f>
        <v>29317.18</v>
      </c>
    </row>
    <row r="637" spans="1:11" ht="26.4" customHeight="1">
      <c r="A637" t="s">
        <v>2309</v>
      </c>
      <c r="B637" s="134" t="s">
        <v>1574</v>
      </c>
      <c r="C637" s="135" t="s">
        <v>1575</v>
      </c>
      <c r="D637" s="136" t="s">
        <v>1576</v>
      </c>
      <c r="E637" s="135" t="s">
        <v>26</v>
      </c>
      <c r="F637" s="135" t="s">
        <v>30</v>
      </c>
      <c r="G637" s="137">
        <v>2.9</v>
      </c>
      <c r="H637" s="138">
        <v>172.34</v>
      </c>
      <c r="I637" s="138">
        <f t="shared" ca="1" si="36"/>
        <v>215.42500000000001</v>
      </c>
      <c r="J637" s="139">
        <v>499.786</v>
      </c>
      <c r="K637" s="140">
        <v>624.75</v>
      </c>
    </row>
    <row r="638" spans="1:11" ht="28.8" customHeight="1">
      <c r="A638" t="s">
        <v>2310</v>
      </c>
      <c r="B638" s="134" t="s">
        <v>1577</v>
      </c>
      <c r="C638" s="135" t="s">
        <v>1578</v>
      </c>
      <c r="D638" s="136" t="s">
        <v>1579</v>
      </c>
      <c r="E638" s="135" t="s">
        <v>14</v>
      </c>
      <c r="F638" s="135" t="s">
        <v>30</v>
      </c>
      <c r="G638" s="137">
        <v>160.1</v>
      </c>
      <c r="H638" s="138">
        <v>21.58</v>
      </c>
      <c r="I638" s="138">
        <f t="shared" ca="1" si="36"/>
        <v>26.974999999999998</v>
      </c>
      <c r="J638" s="139">
        <v>3488.5790000000002</v>
      </c>
      <c r="K638" s="140">
        <v>4319.5</v>
      </c>
    </row>
    <row r="639" spans="1:11">
      <c r="A639" t="s">
        <v>2311</v>
      </c>
      <c r="B639" s="131" t="s">
        <v>1580</v>
      </c>
      <c r="C639" s="154" t="s">
        <v>1581</v>
      </c>
      <c r="D639" s="154"/>
      <c r="E639" s="154"/>
      <c r="F639" s="154"/>
      <c r="G639" s="154"/>
      <c r="H639" s="154"/>
      <c r="I639" s="131"/>
      <c r="J639" s="132">
        <v>65588.039999999994</v>
      </c>
      <c r="K639" s="133">
        <f ca="1">SUM(K640:K656)</f>
        <v>81562.287500000006</v>
      </c>
    </row>
    <row r="640" spans="1:11" ht="20.399999999999999">
      <c r="A640" t="s">
        <v>2312</v>
      </c>
      <c r="B640" s="134" t="s">
        <v>1582</v>
      </c>
      <c r="C640" s="135" t="s">
        <v>1583</v>
      </c>
      <c r="D640" s="136" t="s">
        <v>1584</v>
      </c>
      <c r="E640" s="135" t="s">
        <v>14</v>
      </c>
      <c r="F640" s="135" t="s">
        <v>22</v>
      </c>
      <c r="G640" s="137">
        <v>238</v>
      </c>
      <c r="H640" s="138">
        <v>30.02</v>
      </c>
      <c r="I640" s="138">
        <f t="shared" ca="1" si="36"/>
        <v>37.524999999999999</v>
      </c>
      <c r="J640" s="139">
        <v>7251.86</v>
      </c>
      <c r="K640" s="140">
        <v>8932.14</v>
      </c>
    </row>
    <row r="641" spans="1:11" ht="28.8" customHeight="1">
      <c r="A641" t="s">
        <v>2313</v>
      </c>
      <c r="B641" s="134" t="s">
        <v>1585</v>
      </c>
      <c r="C641" s="135" t="s">
        <v>1586</v>
      </c>
      <c r="D641" s="136" t="s">
        <v>1587</v>
      </c>
      <c r="E641" s="135" t="s">
        <v>14</v>
      </c>
      <c r="F641" s="135" t="s">
        <v>22</v>
      </c>
      <c r="G641" s="137">
        <v>44</v>
      </c>
      <c r="H641" s="138">
        <v>32.090000000000003</v>
      </c>
      <c r="I641" s="138">
        <f t="shared" ca="1" si="36"/>
        <v>40.112500000000004</v>
      </c>
      <c r="J641" s="139">
        <v>1431.76</v>
      </c>
      <c r="K641" s="140">
        <v>1764.84</v>
      </c>
    </row>
    <row r="642" spans="1:11" ht="25.8" customHeight="1">
      <c r="A642" t="s">
        <v>2314</v>
      </c>
      <c r="B642" s="134" t="s">
        <v>1588</v>
      </c>
      <c r="C642" s="135" t="s">
        <v>1589</v>
      </c>
      <c r="D642" s="136" t="s">
        <v>1590</v>
      </c>
      <c r="E642" s="135" t="s">
        <v>14</v>
      </c>
      <c r="F642" s="135" t="s">
        <v>22</v>
      </c>
      <c r="G642" s="137">
        <v>1</v>
      </c>
      <c r="H642" s="138">
        <v>34.83</v>
      </c>
      <c r="I642" s="138">
        <f t="shared" ca="1" si="36"/>
        <v>43.537499999999994</v>
      </c>
      <c r="J642" s="139">
        <v>35.380000000000003</v>
      </c>
      <c r="K642" s="140">
        <f t="shared" ca="1" si="37"/>
        <v>43.537499999999994</v>
      </c>
    </row>
    <row r="643" spans="1:11" ht="23.4" customHeight="1">
      <c r="A643" t="s">
        <v>2315</v>
      </c>
      <c r="B643" s="134" t="s">
        <v>1591</v>
      </c>
      <c r="C643" s="135" t="s">
        <v>1592</v>
      </c>
      <c r="D643" s="136" t="s">
        <v>1593</v>
      </c>
      <c r="E643" s="135" t="s">
        <v>14</v>
      </c>
      <c r="F643" s="135" t="s">
        <v>22</v>
      </c>
      <c r="G643" s="137">
        <v>8</v>
      </c>
      <c r="H643" s="138">
        <v>54.95</v>
      </c>
      <c r="I643" s="138">
        <f t="shared" ca="1" si="36"/>
        <v>68.6875</v>
      </c>
      <c r="J643" s="139">
        <v>446.4</v>
      </c>
      <c r="K643" s="140">
        <v>549.52</v>
      </c>
    </row>
    <row r="644" spans="1:11" ht="23.4" customHeight="1">
      <c r="A644" t="s">
        <v>2316</v>
      </c>
      <c r="B644" s="134" t="s">
        <v>1594</v>
      </c>
      <c r="C644" s="135" t="s">
        <v>1595</v>
      </c>
      <c r="D644" s="136" t="s">
        <v>1596</v>
      </c>
      <c r="E644" s="135" t="s">
        <v>14</v>
      </c>
      <c r="F644" s="135" t="s">
        <v>22</v>
      </c>
      <c r="G644" s="137">
        <v>32</v>
      </c>
      <c r="H644" s="138">
        <v>28.63</v>
      </c>
      <c r="I644" s="138">
        <f t="shared" ca="1" si="36"/>
        <v>35.787500000000001</v>
      </c>
      <c r="J644" s="139">
        <v>930.24</v>
      </c>
      <c r="K644" s="140">
        <v>1145.28</v>
      </c>
    </row>
    <row r="645" spans="1:11" ht="26.4" customHeight="1">
      <c r="A645" t="s">
        <v>2317</v>
      </c>
      <c r="B645" s="134" t="s">
        <v>1597</v>
      </c>
      <c r="C645" s="135" t="s">
        <v>1598</v>
      </c>
      <c r="D645" s="136" t="s">
        <v>1599</v>
      </c>
      <c r="E645" s="135" t="s">
        <v>14</v>
      </c>
      <c r="F645" s="135" t="s">
        <v>22</v>
      </c>
      <c r="G645" s="137">
        <v>21</v>
      </c>
      <c r="H645" s="138">
        <v>43.61</v>
      </c>
      <c r="I645" s="138">
        <f t="shared" ca="1" si="36"/>
        <v>54.512500000000003</v>
      </c>
      <c r="J645" s="139">
        <v>929.25</v>
      </c>
      <c r="K645" s="140">
        <v>1144.71</v>
      </c>
    </row>
    <row r="646" spans="1:11" ht="28.2" customHeight="1">
      <c r="A646" t="s">
        <v>2318</v>
      </c>
      <c r="B646" s="134" t="s">
        <v>1600</v>
      </c>
      <c r="C646" s="135" t="s">
        <v>1601</v>
      </c>
      <c r="D646" s="136" t="s">
        <v>1602</v>
      </c>
      <c r="E646" s="135" t="s">
        <v>14</v>
      </c>
      <c r="F646" s="135" t="s">
        <v>22</v>
      </c>
      <c r="G646" s="137">
        <v>2</v>
      </c>
      <c r="H646" s="138">
        <v>58.59</v>
      </c>
      <c r="I646" s="138">
        <f t="shared" ca="1" si="36"/>
        <v>73.237500000000011</v>
      </c>
      <c r="J646" s="139">
        <v>118.88</v>
      </c>
      <c r="K646" s="140">
        <v>146.47999999999999</v>
      </c>
    </row>
    <row r="647" spans="1:11" ht="28.8" customHeight="1">
      <c r="A647" t="s">
        <v>2319</v>
      </c>
      <c r="B647" s="134" t="s">
        <v>1603</v>
      </c>
      <c r="C647" s="135" t="s">
        <v>1604</v>
      </c>
      <c r="D647" s="136" t="s">
        <v>1605</v>
      </c>
      <c r="E647" s="135" t="s">
        <v>14</v>
      </c>
      <c r="F647" s="135" t="s">
        <v>22</v>
      </c>
      <c r="G647" s="137">
        <v>2</v>
      </c>
      <c r="H647" s="138">
        <v>77.16</v>
      </c>
      <c r="I647" s="138">
        <f t="shared" ca="1" si="36"/>
        <v>96.449999999999989</v>
      </c>
      <c r="J647" s="139">
        <v>156.62</v>
      </c>
      <c r="K647" s="140">
        <f t="shared" ca="1" si="37"/>
        <v>192.89999999999998</v>
      </c>
    </row>
    <row r="648" spans="1:11">
      <c r="A648" t="s">
        <v>2320</v>
      </c>
      <c r="B648" s="134" t="s">
        <v>1606</v>
      </c>
      <c r="C648" s="135" t="s">
        <v>1607</v>
      </c>
      <c r="D648" s="136" t="s">
        <v>1608</v>
      </c>
      <c r="E648" s="135" t="s">
        <v>26</v>
      </c>
      <c r="F648" s="135" t="s">
        <v>22</v>
      </c>
      <c r="G648" s="137">
        <v>18</v>
      </c>
      <c r="H648" s="138">
        <v>13.01</v>
      </c>
      <c r="I648" s="138">
        <f t="shared" ca="1" si="36"/>
        <v>16.262499999999999</v>
      </c>
      <c r="J648" s="139">
        <v>234.18</v>
      </c>
      <c r="K648" s="140">
        <v>292.68</v>
      </c>
    </row>
    <row r="649" spans="1:11">
      <c r="A649" t="s">
        <v>2321</v>
      </c>
      <c r="B649" s="134" t="s">
        <v>1609</v>
      </c>
      <c r="C649" s="135" t="s">
        <v>1610</v>
      </c>
      <c r="D649" s="136" t="s">
        <v>1611</v>
      </c>
      <c r="E649" s="135" t="s">
        <v>26</v>
      </c>
      <c r="F649" s="135" t="s">
        <v>22</v>
      </c>
      <c r="G649" s="137">
        <v>37</v>
      </c>
      <c r="H649" s="138">
        <v>61.31</v>
      </c>
      <c r="I649" s="138">
        <f t="shared" ca="1" si="36"/>
        <v>76.637500000000003</v>
      </c>
      <c r="J649" s="139">
        <v>2268.4699999999998</v>
      </c>
      <c r="K649" s="140">
        <v>2835.68</v>
      </c>
    </row>
    <row r="650" spans="1:11">
      <c r="A650" t="s">
        <v>2322</v>
      </c>
      <c r="B650" s="134" t="s">
        <v>1612</v>
      </c>
      <c r="C650" s="135" t="s">
        <v>1613</v>
      </c>
      <c r="D650" s="136" t="s">
        <v>1614</v>
      </c>
      <c r="E650" s="135" t="s">
        <v>26</v>
      </c>
      <c r="F650" s="135" t="s">
        <v>22</v>
      </c>
      <c r="G650" s="137">
        <v>27</v>
      </c>
      <c r="H650" s="138">
        <v>158.43</v>
      </c>
      <c r="I650" s="138">
        <f t="shared" ca="1" si="36"/>
        <v>198.03750000000002</v>
      </c>
      <c r="J650" s="139">
        <v>4277.6099999999997</v>
      </c>
      <c r="K650" s="140">
        <v>5347.08</v>
      </c>
    </row>
    <row r="651" spans="1:11">
      <c r="A651" t="s">
        <v>2323</v>
      </c>
      <c r="B651" s="134" t="s">
        <v>1615</v>
      </c>
      <c r="C651" s="135" t="s">
        <v>1616</v>
      </c>
      <c r="D651" s="136" t="s">
        <v>1617</v>
      </c>
      <c r="E651" s="135" t="s">
        <v>26</v>
      </c>
      <c r="F651" s="135" t="s">
        <v>22</v>
      </c>
      <c r="G651" s="137">
        <v>177</v>
      </c>
      <c r="H651" s="138">
        <v>158.43</v>
      </c>
      <c r="I651" s="138">
        <f t="shared" ca="1" si="36"/>
        <v>198.03750000000002</v>
      </c>
      <c r="J651" s="139">
        <v>28042.11</v>
      </c>
      <c r="K651" s="140">
        <v>35053.08</v>
      </c>
    </row>
    <row r="652" spans="1:11">
      <c r="A652" t="s">
        <v>2324</v>
      </c>
      <c r="B652" s="134" t="s">
        <v>1618</v>
      </c>
      <c r="C652" s="135" t="s">
        <v>1619</v>
      </c>
      <c r="D652" s="136" t="s">
        <v>1620</v>
      </c>
      <c r="E652" s="135" t="s">
        <v>14</v>
      </c>
      <c r="F652" s="135" t="s">
        <v>22</v>
      </c>
      <c r="G652" s="137">
        <v>109</v>
      </c>
      <c r="H652" s="138">
        <v>27.13</v>
      </c>
      <c r="I652" s="138">
        <f t="shared" ca="1" si="36"/>
        <v>33.912500000000001</v>
      </c>
      <c r="J652" s="139">
        <v>3090.15</v>
      </c>
      <c r="K652" s="140">
        <v>3696.19</v>
      </c>
    </row>
    <row r="653" spans="1:11">
      <c r="A653" t="s">
        <v>2325</v>
      </c>
      <c r="B653" s="134" t="s">
        <v>1621</v>
      </c>
      <c r="C653" s="135" t="s">
        <v>1622</v>
      </c>
      <c r="D653" s="136" t="s">
        <v>1623</v>
      </c>
      <c r="E653" s="135" t="s">
        <v>26</v>
      </c>
      <c r="F653" s="135" t="s">
        <v>22</v>
      </c>
      <c r="G653" s="137">
        <v>25</v>
      </c>
      <c r="H653" s="138">
        <v>175.27</v>
      </c>
      <c r="I653" s="138">
        <f t="shared" ca="1" si="36"/>
        <v>219.08750000000001</v>
      </c>
      <c r="J653" s="139">
        <v>4381.75</v>
      </c>
      <c r="K653" s="140">
        <v>5477.25</v>
      </c>
    </row>
    <row r="654" spans="1:11" ht="28.2" customHeight="1">
      <c r="A654" t="s">
        <v>2326</v>
      </c>
      <c r="B654" s="134" t="s">
        <v>1624</v>
      </c>
      <c r="C654" s="135" t="s">
        <v>1625</v>
      </c>
      <c r="D654" s="136" t="s">
        <v>1626</v>
      </c>
      <c r="E654" s="135" t="s">
        <v>14</v>
      </c>
      <c r="F654" s="135" t="s">
        <v>22</v>
      </c>
      <c r="G654" s="137">
        <v>76</v>
      </c>
      <c r="H654" s="138">
        <v>110.28</v>
      </c>
      <c r="I654" s="138">
        <f t="shared" ca="1" si="36"/>
        <v>137.85</v>
      </c>
      <c r="J654" s="139">
        <v>8419.2800000000007</v>
      </c>
      <c r="K654" s="140">
        <f t="shared" ca="1" si="37"/>
        <v>10476.6</v>
      </c>
    </row>
    <row r="655" spans="1:11">
      <c r="A655" t="s">
        <v>2327</v>
      </c>
      <c r="B655" s="134" t="s">
        <v>1627</v>
      </c>
      <c r="C655" s="135" t="s">
        <v>1628</v>
      </c>
      <c r="D655" s="136" t="s">
        <v>1629</v>
      </c>
      <c r="E655" s="135" t="s">
        <v>26</v>
      </c>
      <c r="F655" s="135" t="s">
        <v>22</v>
      </c>
      <c r="G655" s="137">
        <v>25</v>
      </c>
      <c r="H655" s="138">
        <v>135.58000000000001</v>
      </c>
      <c r="I655" s="138">
        <f t="shared" ca="1" si="36"/>
        <v>169.47500000000002</v>
      </c>
      <c r="J655" s="139">
        <v>3389.5</v>
      </c>
      <c r="K655" s="140">
        <v>4237</v>
      </c>
    </row>
    <row r="656" spans="1:11" ht="26.4" customHeight="1">
      <c r="A656" t="s">
        <v>2328</v>
      </c>
      <c r="B656" s="134" t="s">
        <v>1630</v>
      </c>
      <c r="C656" s="135" t="s">
        <v>1631</v>
      </c>
      <c r="D656" s="136" t="s">
        <v>1632</v>
      </c>
      <c r="E656" s="135" t="s">
        <v>14</v>
      </c>
      <c r="F656" s="135" t="s">
        <v>22</v>
      </c>
      <c r="G656" s="137">
        <v>4</v>
      </c>
      <c r="H656" s="138">
        <v>45.46</v>
      </c>
      <c r="I656" s="138">
        <f t="shared" ca="1" si="36"/>
        <v>56.825000000000003</v>
      </c>
      <c r="J656" s="139">
        <v>184.6</v>
      </c>
      <c r="K656" s="140">
        <v>227.32</v>
      </c>
    </row>
    <row r="657" spans="1:11">
      <c r="A657" t="s">
        <v>2329</v>
      </c>
      <c r="B657" s="131" t="s">
        <v>1633</v>
      </c>
      <c r="C657" s="154" t="s">
        <v>1634</v>
      </c>
      <c r="D657" s="154"/>
      <c r="E657" s="154"/>
      <c r="F657" s="154"/>
      <c r="G657" s="154"/>
      <c r="H657" s="154"/>
      <c r="I657" s="131"/>
      <c r="J657" s="132">
        <v>56486.256000000001</v>
      </c>
      <c r="K657" s="133">
        <f ca="1">SUM(K658,K665)</f>
        <v>70398.77</v>
      </c>
    </row>
    <row r="658" spans="1:11">
      <c r="A658" t="s">
        <v>2330</v>
      </c>
      <c r="B658" s="131" t="s">
        <v>1635</v>
      </c>
      <c r="C658" s="154" t="s">
        <v>1636</v>
      </c>
      <c r="D658" s="154"/>
      <c r="E658" s="154"/>
      <c r="F658" s="154"/>
      <c r="G658" s="154"/>
      <c r="H658" s="154"/>
      <c r="I658" s="131"/>
      <c r="J658" s="132">
        <v>45992.055999999997</v>
      </c>
      <c r="K658" s="133">
        <f ca="1">SUM(K659:K664)</f>
        <v>57408.04</v>
      </c>
    </row>
    <row r="659" spans="1:11" ht="27" customHeight="1">
      <c r="A659" t="s">
        <v>2331</v>
      </c>
      <c r="B659" s="134" t="s">
        <v>1637</v>
      </c>
      <c r="C659" s="135" t="s">
        <v>1638</v>
      </c>
      <c r="D659" s="136" t="s">
        <v>1639</v>
      </c>
      <c r="E659" s="135" t="s">
        <v>14</v>
      </c>
      <c r="F659" s="135" t="s">
        <v>30</v>
      </c>
      <c r="G659" s="137">
        <v>282</v>
      </c>
      <c r="H659" s="138">
        <v>42.64</v>
      </c>
      <c r="I659" s="138">
        <f t="shared" ref="I659:I672" ca="1" si="38">(H659*J$5)+H659</f>
        <v>53.3</v>
      </c>
      <c r="J659" s="139">
        <v>12041.4</v>
      </c>
      <c r="K659" s="140">
        <f t="shared" ref="K659:K662" ca="1" si="39">I659*G659</f>
        <v>15030.599999999999</v>
      </c>
    </row>
    <row r="660" spans="1:11" ht="29.4" customHeight="1">
      <c r="A660" t="s">
        <v>2332</v>
      </c>
      <c r="B660" s="134" t="s">
        <v>1640</v>
      </c>
      <c r="C660" s="135" t="s">
        <v>1641</v>
      </c>
      <c r="D660" s="136" t="s">
        <v>1642</v>
      </c>
      <c r="E660" s="135" t="s">
        <v>14</v>
      </c>
      <c r="F660" s="135" t="s">
        <v>30</v>
      </c>
      <c r="G660" s="137">
        <v>43</v>
      </c>
      <c r="H660" s="138">
        <v>25.65</v>
      </c>
      <c r="I660" s="138">
        <f t="shared" ca="1" si="38"/>
        <v>32.0625</v>
      </c>
      <c r="J660" s="139">
        <v>1105.96</v>
      </c>
      <c r="K660" s="140">
        <v>1378.58</v>
      </c>
    </row>
    <row r="661" spans="1:11" ht="28.2" customHeight="1">
      <c r="A661" t="s">
        <v>2333</v>
      </c>
      <c r="B661" s="134" t="s">
        <v>1643</v>
      </c>
      <c r="C661" s="135" t="s">
        <v>1644</v>
      </c>
      <c r="D661" s="136" t="s">
        <v>1645</v>
      </c>
      <c r="E661" s="135" t="s">
        <v>14</v>
      </c>
      <c r="F661" s="135" t="s">
        <v>30</v>
      </c>
      <c r="G661" s="137">
        <v>11</v>
      </c>
      <c r="H661" s="138">
        <v>66.33</v>
      </c>
      <c r="I661" s="138">
        <f t="shared" ca="1" si="38"/>
        <v>82.912499999999994</v>
      </c>
      <c r="J661" s="139">
        <v>730.4</v>
      </c>
      <c r="K661" s="140">
        <v>912.01</v>
      </c>
    </row>
    <row r="662" spans="1:11" ht="20.399999999999999">
      <c r="A662" t="s">
        <v>2334</v>
      </c>
      <c r="B662" s="134" t="s">
        <v>1646</v>
      </c>
      <c r="C662" s="135" t="s">
        <v>1647</v>
      </c>
      <c r="D662" s="136" t="s">
        <v>1648</v>
      </c>
      <c r="E662" s="135" t="s">
        <v>14</v>
      </c>
      <c r="F662" s="135" t="s">
        <v>30</v>
      </c>
      <c r="G662" s="137">
        <v>43</v>
      </c>
      <c r="H662" s="138">
        <v>54.72</v>
      </c>
      <c r="I662" s="138">
        <f t="shared" ca="1" si="38"/>
        <v>68.400000000000006</v>
      </c>
      <c r="J662" s="139">
        <v>2356.4</v>
      </c>
      <c r="K662" s="140">
        <f t="shared" ca="1" si="39"/>
        <v>2941.2000000000003</v>
      </c>
    </row>
    <row r="663" spans="1:11" ht="35.4" customHeight="1">
      <c r="A663" t="s">
        <v>2335</v>
      </c>
      <c r="B663" s="134" t="s">
        <v>1649</v>
      </c>
      <c r="C663" s="135" t="s">
        <v>1650</v>
      </c>
      <c r="D663" s="136" t="s">
        <v>1651</v>
      </c>
      <c r="E663" s="135" t="s">
        <v>14</v>
      </c>
      <c r="F663" s="135" t="s">
        <v>112</v>
      </c>
      <c r="G663" s="137">
        <v>569.79999999999995</v>
      </c>
      <c r="H663" s="138">
        <v>15.74</v>
      </c>
      <c r="I663" s="138">
        <f t="shared" ca="1" si="38"/>
        <v>19.675000000000001</v>
      </c>
      <c r="J663" s="139">
        <v>8985.7459999999992</v>
      </c>
      <c r="K663" s="140">
        <v>11213.66</v>
      </c>
    </row>
    <row r="664" spans="1:11" ht="26.4" customHeight="1">
      <c r="A664" t="s">
        <v>2336</v>
      </c>
      <c r="B664" s="134" t="s">
        <v>1652</v>
      </c>
      <c r="C664" s="135" t="s">
        <v>1653</v>
      </c>
      <c r="D664" s="136" t="s">
        <v>1654</v>
      </c>
      <c r="E664" s="135" t="s">
        <v>26</v>
      </c>
      <c r="F664" s="135" t="s">
        <v>30</v>
      </c>
      <c r="G664" s="137">
        <v>271</v>
      </c>
      <c r="H664" s="138">
        <v>76.55</v>
      </c>
      <c r="I664" s="138">
        <f t="shared" ca="1" si="38"/>
        <v>95.6875</v>
      </c>
      <c r="J664" s="139">
        <v>20772.150000000001</v>
      </c>
      <c r="K664" s="140">
        <v>25931.99</v>
      </c>
    </row>
    <row r="665" spans="1:11">
      <c r="A665" t="s">
        <v>2337</v>
      </c>
      <c r="B665" s="131" t="s">
        <v>1655</v>
      </c>
      <c r="C665" s="154" t="s">
        <v>1656</v>
      </c>
      <c r="D665" s="154"/>
      <c r="E665" s="154"/>
      <c r="F665" s="154"/>
      <c r="G665" s="154"/>
      <c r="H665" s="154"/>
      <c r="I665" s="131"/>
      <c r="J665" s="132">
        <v>10494.2</v>
      </c>
      <c r="K665" s="133">
        <f>SUM(K666:K672)</f>
        <v>12990.73</v>
      </c>
    </row>
    <row r="666" spans="1:11" ht="26.4" customHeight="1">
      <c r="A666" t="s">
        <v>2338</v>
      </c>
      <c r="B666" s="134" t="s">
        <v>1657</v>
      </c>
      <c r="C666" s="135" t="s">
        <v>1658</v>
      </c>
      <c r="D666" s="136" t="s">
        <v>1659</v>
      </c>
      <c r="E666" s="135" t="s">
        <v>14</v>
      </c>
      <c r="F666" s="135" t="s">
        <v>30</v>
      </c>
      <c r="G666" s="137">
        <v>150.69999999999999</v>
      </c>
      <c r="H666" s="138">
        <v>16.350000000000001</v>
      </c>
      <c r="I666" s="138">
        <f t="shared" ca="1" si="38"/>
        <v>20.4375</v>
      </c>
      <c r="J666" s="139">
        <v>2509.1550000000002</v>
      </c>
      <c r="K666" s="140">
        <v>3080.31</v>
      </c>
    </row>
    <row r="667" spans="1:11" ht="27" customHeight="1">
      <c r="A667" t="s">
        <v>2339</v>
      </c>
      <c r="B667" s="134" t="s">
        <v>1660</v>
      </c>
      <c r="C667" s="135" t="s">
        <v>1661</v>
      </c>
      <c r="D667" s="136" t="s">
        <v>1662</v>
      </c>
      <c r="E667" s="135" t="s">
        <v>14</v>
      </c>
      <c r="F667" s="135" t="s">
        <v>22</v>
      </c>
      <c r="G667" s="137">
        <v>270</v>
      </c>
      <c r="H667" s="138">
        <v>6.9</v>
      </c>
      <c r="I667" s="138">
        <f t="shared" ca="1" si="38"/>
        <v>8.625</v>
      </c>
      <c r="J667" s="139">
        <v>1895.4</v>
      </c>
      <c r="K667" s="140">
        <v>2330.1</v>
      </c>
    </row>
    <row r="668" spans="1:11" ht="20.399999999999999">
      <c r="A668" t="s">
        <v>2340</v>
      </c>
      <c r="B668" s="134" t="s">
        <v>1663</v>
      </c>
      <c r="C668" s="135" t="s">
        <v>1664</v>
      </c>
      <c r="D668" s="136" t="s">
        <v>1665</v>
      </c>
      <c r="E668" s="135" t="s">
        <v>14</v>
      </c>
      <c r="F668" s="135" t="s">
        <v>30</v>
      </c>
      <c r="G668" s="137">
        <v>276.3</v>
      </c>
      <c r="H668" s="138">
        <v>15.32</v>
      </c>
      <c r="I668" s="138">
        <f t="shared" ca="1" si="38"/>
        <v>19.149999999999999</v>
      </c>
      <c r="J668" s="139">
        <v>4241.2049999999999</v>
      </c>
      <c r="K668" s="140">
        <v>5291.15</v>
      </c>
    </row>
    <row r="669" spans="1:11" ht="20.399999999999999">
      <c r="A669" t="s">
        <v>2341</v>
      </c>
      <c r="B669" s="134" t="s">
        <v>1666</v>
      </c>
      <c r="C669" s="135" t="s">
        <v>1667</v>
      </c>
      <c r="D669" s="136" t="s">
        <v>1668</v>
      </c>
      <c r="E669" s="135" t="s">
        <v>14</v>
      </c>
      <c r="F669" s="135" t="s">
        <v>22</v>
      </c>
      <c r="G669" s="137">
        <v>5</v>
      </c>
      <c r="H669" s="138">
        <v>12.26</v>
      </c>
      <c r="I669" s="138">
        <f t="shared" ca="1" si="38"/>
        <v>15.324999999999999</v>
      </c>
      <c r="J669" s="139">
        <v>61.9</v>
      </c>
      <c r="K669" s="140">
        <v>76.650000000000006</v>
      </c>
    </row>
    <row r="670" spans="1:11" ht="28.2" customHeight="1">
      <c r="A670" t="s">
        <v>2342</v>
      </c>
      <c r="B670" s="134" t="s">
        <v>1669</v>
      </c>
      <c r="C670" s="135" t="s">
        <v>1670</v>
      </c>
      <c r="D670" s="136" t="s">
        <v>1671</v>
      </c>
      <c r="E670" s="135" t="s">
        <v>14</v>
      </c>
      <c r="F670" s="135" t="s">
        <v>22</v>
      </c>
      <c r="G670" s="137">
        <v>67</v>
      </c>
      <c r="H670" s="138">
        <v>12.2</v>
      </c>
      <c r="I670" s="138">
        <f t="shared" ca="1" si="38"/>
        <v>15.25</v>
      </c>
      <c r="J670" s="139">
        <v>825.44</v>
      </c>
      <c r="K670" s="140">
        <v>1021.75</v>
      </c>
    </row>
    <row r="671" spans="1:11" ht="20.399999999999999">
      <c r="A671" t="s">
        <v>2343</v>
      </c>
      <c r="B671" s="134" t="s">
        <v>1672</v>
      </c>
      <c r="C671" s="135" t="s">
        <v>1673</v>
      </c>
      <c r="D671" s="136" t="s">
        <v>1674</v>
      </c>
      <c r="E671" s="135" t="s">
        <v>14</v>
      </c>
      <c r="F671" s="135" t="s">
        <v>22</v>
      </c>
      <c r="G671" s="137">
        <v>21</v>
      </c>
      <c r="H671" s="138">
        <v>17.850000000000001</v>
      </c>
      <c r="I671" s="138">
        <f t="shared" ca="1" si="38"/>
        <v>22.3125</v>
      </c>
      <c r="J671" s="139">
        <v>378.21</v>
      </c>
      <c r="K671" s="140">
        <v>468.51</v>
      </c>
    </row>
    <row r="672" spans="1:11" ht="27" customHeight="1">
      <c r="A672" t="s">
        <v>2344</v>
      </c>
      <c r="B672" s="134" t="s">
        <v>1675</v>
      </c>
      <c r="C672" s="135" t="s">
        <v>1676</v>
      </c>
      <c r="D672" s="136" t="s">
        <v>1677</v>
      </c>
      <c r="E672" s="135" t="s">
        <v>14</v>
      </c>
      <c r="F672" s="135" t="s">
        <v>22</v>
      </c>
      <c r="G672" s="137">
        <v>77</v>
      </c>
      <c r="H672" s="138">
        <v>7.5</v>
      </c>
      <c r="I672" s="138">
        <f t="shared" ca="1" si="38"/>
        <v>9.375</v>
      </c>
      <c r="J672" s="139">
        <v>582.89</v>
      </c>
      <c r="K672" s="140">
        <v>722.26</v>
      </c>
    </row>
    <row r="673" spans="1:11">
      <c r="A673" t="s">
        <v>2345</v>
      </c>
      <c r="B673" s="131" t="s">
        <v>1678</v>
      </c>
      <c r="C673" s="154" t="s">
        <v>1679</v>
      </c>
      <c r="D673" s="154"/>
      <c r="E673" s="154"/>
      <c r="F673" s="154"/>
      <c r="G673" s="154"/>
      <c r="H673" s="154"/>
      <c r="I673" s="131"/>
      <c r="J673" s="132">
        <v>167920.56299999999</v>
      </c>
      <c r="K673" s="133">
        <f ca="1">SUM(K674,K680,K683,K696,K701)</f>
        <v>209407.7</v>
      </c>
    </row>
    <row r="674" spans="1:11">
      <c r="A674" t="s">
        <v>2346</v>
      </c>
      <c r="B674" s="131" t="s">
        <v>1680</v>
      </c>
      <c r="C674" s="154" t="s">
        <v>1681</v>
      </c>
      <c r="D674" s="154"/>
      <c r="E674" s="154"/>
      <c r="F674" s="154"/>
      <c r="G674" s="154"/>
      <c r="H674" s="154"/>
      <c r="I674" s="131"/>
      <c r="J674" s="132">
        <v>38503.089999999997</v>
      </c>
      <c r="K674" s="133">
        <f ca="1">SUM(K675:K679)</f>
        <v>47986.5</v>
      </c>
    </row>
    <row r="675" spans="1:11">
      <c r="A675" t="s">
        <v>2347</v>
      </c>
      <c r="B675" s="134" t="s">
        <v>1682</v>
      </c>
      <c r="C675" s="135" t="s">
        <v>1683</v>
      </c>
      <c r="D675" s="136" t="s">
        <v>1684</v>
      </c>
      <c r="E675" s="135" t="s">
        <v>14</v>
      </c>
      <c r="F675" s="135" t="s">
        <v>22</v>
      </c>
      <c r="G675" s="137">
        <v>15</v>
      </c>
      <c r="H675" s="138">
        <v>600.72</v>
      </c>
      <c r="I675" s="138">
        <f t="shared" ref="I675:I738" ca="1" si="40">(H675*J$5)+H675</f>
        <v>750.90000000000009</v>
      </c>
      <c r="J675" s="139">
        <v>9122.25</v>
      </c>
      <c r="K675" s="140">
        <f t="shared" ref="K675:K726" ca="1" si="41">I675*G675</f>
        <v>11263.500000000002</v>
      </c>
    </row>
    <row r="676" spans="1:11">
      <c r="A676" t="s">
        <v>2348</v>
      </c>
      <c r="B676" s="134" t="s">
        <v>1685</v>
      </c>
      <c r="C676" s="135" t="s">
        <v>1686</v>
      </c>
      <c r="D676" s="136" t="s">
        <v>1687</v>
      </c>
      <c r="E676" s="135" t="s">
        <v>14</v>
      </c>
      <c r="F676" s="135" t="s">
        <v>22</v>
      </c>
      <c r="G676" s="137">
        <v>2</v>
      </c>
      <c r="H676" s="138">
        <v>2419.34</v>
      </c>
      <c r="I676" s="138">
        <f t="shared" ca="1" si="40"/>
        <v>3024.1750000000002</v>
      </c>
      <c r="J676" s="139">
        <v>4841.12</v>
      </c>
      <c r="K676" s="140">
        <v>6048.36</v>
      </c>
    </row>
    <row r="677" spans="1:11">
      <c r="A677" t="s">
        <v>2349</v>
      </c>
      <c r="B677" s="134" t="s">
        <v>1688</v>
      </c>
      <c r="C677" s="135" t="s">
        <v>1689</v>
      </c>
      <c r="D677" s="136" t="s">
        <v>1690</v>
      </c>
      <c r="E677" s="135" t="s">
        <v>26</v>
      </c>
      <c r="F677" s="135" t="s">
        <v>22</v>
      </c>
      <c r="G677" s="137">
        <v>8</v>
      </c>
      <c r="H677" s="138">
        <v>3009.73</v>
      </c>
      <c r="I677" s="138">
        <f t="shared" ca="1" si="40"/>
        <v>3762.1624999999999</v>
      </c>
      <c r="J677" s="139">
        <v>24077.84</v>
      </c>
      <c r="K677" s="141">
        <v>30097.279999999999</v>
      </c>
    </row>
    <row r="678" spans="1:11">
      <c r="A678" t="s">
        <v>2350</v>
      </c>
      <c r="B678" s="134" t="s">
        <v>1691</v>
      </c>
      <c r="C678" s="135" t="s">
        <v>1692</v>
      </c>
      <c r="D678" s="136" t="s">
        <v>1693</v>
      </c>
      <c r="E678" s="135" t="s">
        <v>26</v>
      </c>
      <c r="F678" s="135" t="s">
        <v>22</v>
      </c>
      <c r="G678" s="137">
        <v>2</v>
      </c>
      <c r="H678" s="138">
        <v>179.74</v>
      </c>
      <c r="I678" s="138">
        <f t="shared" ca="1" si="40"/>
        <v>224.67500000000001</v>
      </c>
      <c r="J678" s="139">
        <v>359.48</v>
      </c>
      <c r="K678" s="140">
        <v>449.36</v>
      </c>
    </row>
    <row r="679" spans="1:11">
      <c r="A679" t="s">
        <v>2351</v>
      </c>
      <c r="B679" s="134" t="s">
        <v>1694</v>
      </c>
      <c r="C679" s="135" t="s">
        <v>1695</v>
      </c>
      <c r="D679" s="136" t="s">
        <v>1696</v>
      </c>
      <c r="E679" s="135" t="s">
        <v>26</v>
      </c>
      <c r="F679" s="135" t="s">
        <v>1697</v>
      </c>
      <c r="G679" s="137">
        <v>4</v>
      </c>
      <c r="H679" s="138">
        <v>25.6</v>
      </c>
      <c r="I679" s="138">
        <f t="shared" ca="1" si="40"/>
        <v>32</v>
      </c>
      <c r="J679" s="139">
        <v>102.4</v>
      </c>
      <c r="K679" s="140">
        <f t="shared" ca="1" si="41"/>
        <v>128</v>
      </c>
    </row>
    <row r="680" spans="1:11">
      <c r="A680" t="s">
        <v>2352</v>
      </c>
      <c r="B680" s="131" t="s">
        <v>1698</v>
      </c>
      <c r="C680" s="154" t="s">
        <v>1699</v>
      </c>
      <c r="D680" s="154"/>
      <c r="E680" s="154"/>
      <c r="F680" s="154"/>
      <c r="G680" s="154"/>
      <c r="H680" s="154"/>
      <c r="I680" s="131"/>
      <c r="J680" s="132">
        <v>48344.571000000004</v>
      </c>
      <c r="K680" s="133">
        <f>SUM(K681:K682)</f>
        <v>60447.55</v>
      </c>
    </row>
    <row r="681" spans="1:11" ht="20.399999999999999">
      <c r="A681" t="s">
        <v>2353</v>
      </c>
      <c r="B681" s="134" t="s">
        <v>1700</v>
      </c>
      <c r="C681" s="135" t="s">
        <v>1701</v>
      </c>
      <c r="D681" s="136" t="s">
        <v>1702</v>
      </c>
      <c r="E681" s="135" t="s">
        <v>14</v>
      </c>
      <c r="F681" s="135" t="s">
        <v>30</v>
      </c>
      <c r="G681" s="137">
        <v>6625.3</v>
      </c>
      <c r="H681" s="138">
        <v>7.07</v>
      </c>
      <c r="I681" s="138">
        <f t="shared" ca="1" si="40"/>
        <v>8.8375000000000004</v>
      </c>
      <c r="J681" s="139">
        <v>46840.870999999999</v>
      </c>
      <c r="K681" s="140">
        <v>58567.65</v>
      </c>
    </row>
    <row r="682" spans="1:11">
      <c r="A682" t="s">
        <v>2354</v>
      </c>
      <c r="B682" s="134" t="s">
        <v>1703</v>
      </c>
      <c r="C682" s="135" t="s">
        <v>1704</v>
      </c>
      <c r="D682" s="136" t="s">
        <v>1705</v>
      </c>
      <c r="E682" s="135" t="s">
        <v>26</v>
      </c>
      <c r="F682" s="135" t="s">
        <v>30</v>
      </c>
      <c r="G682" s="137">
        <v>110</v>
      </c>
      <c r="H682" s="138">
        <v>13.67</v>
      </c>
      <c r="I682" s="138">
        <f t="shared" ca="1" si="40"/>
        <v>17.087499999999999</v>
      </c>
      <c r="J682" s="139">
        <v>1503.7</v>
      </c>
      <c r="K682" s="140">
        <v>1879.9</v>
      </c>
    </row>
    <row r="683" spans="1:11">
      <c r="A683" t="s">
        <v>2355</v>
      </c>
      <c r="B683" s="131" t="s">
        <v>1706</v>
      </c>
      <c r="C683" s="154" t="s">
        <v>1003</v>
      </c>
      <c r="D683" s="154"/>
      <c r="E683" s="154"/>
      <c r="F683" s="154"/>
      <c r="G683" s="154"/>
      <c r="H683" s="154"/>
      <c r="I683" s="131"/>
      <c r="J683" s="132">
        <v>15067</v>
      </c>
      <c r="K683" s="133">
        <f ca="1">SUM(K684:K695)</f>
        <v>18663.514999999999</v>
      </c>
    </row>
    <row r="684" spans="1:11">
      <c r="A684" t="s">
        <v>2356</v>
      </c>
      <c r="B684" s="134" t="s">
        <v>1707</v>
      </c>
      <c r="C684" s="135" t="s">
        <v>1708</v>
      </c>
      <c r="D684" s="136" t="s">
        <v>1709</v>
      </c>
      <c r="E684" s="135" t="s">
        <v>14</v>
      </c>
      <c r="F684" s="135" t="s">
        <v>22</v>
      </c>
      <c r="G684" s="137">
        <v>179</v>
      </c>
      <c r="H684" s="138">
        <v>44.05</v>
      </c>
      <c r="I684" s="138">
        <f t="shared" ca="1" si="40"/>
        <v>55.0625</v>
      </c>
      <c r="J684" s="139">
        <v>7929.7</v>
      </c>
      <c r="K684" s="140">
        <v>9855.74</v>
      </c>
    </row>
    <row r="685" spans="1:11" ht="20.399999999999999">
      <c r="A685" t="s">
        <v>2357</v>
      </c>
      <c r="B685" s="134" t="s">
        <v>1710</v>
      </c>
      <c r="C685" s="135" t="s">
        <v>1514</v>
      </c>
      <c r="D685" s="136" t="s">
        <v>1515</v>
      </c>
      <c r="E685" s="135" t="s">
        <v>14</v>
      </c>
      <c r="F685" s="135" t="s">
        <v>22</v>
      </c>
      <c r="G685" s="137">
        <v>34</v>
      </c>
      <c r="H685" s="138">
        <v>33.880000000000003</v>
      </c>
      <c r="I685" s="138">
        <f t="shared" ca="1" si="40"/>
        <v>42.35</v>
      </c>
      <c r="J685" s="139">
        <v>1166.54</v>
      </c>
      <c r="K685" s="140">
        <f t="shared" ca="1" si="41"/>
        <v>1439.9</v>
      </c>
    </row>
    <row r="686" spans="1:11" ht="20.399999999999999">
      <c r="A686" t="s">
        <v>2358</v>
      </c>
      <c r="B686" s="134" t="s">
        <v>1711</v>
      </c>
      <c r="C686" s="135" t="s">
        <v>1712</v>
      </c>
      <c r="D686" s="136" t="s">
        <v>1713</v>
      </c>
      <c r="E686" s="135" t="s">
        <v>14</v>
      </c>
      <c r="F686" s="135" t="s">
        <v>22</v>
      </c>
      <c r="G686" s="137">
        <v>54</v>
      </c>
      <c r="H686" s="138">
        <v>8.07</v>
      </c>
      <c r="I686" s="138">
        <f t="shared" ca="1" si="40"/>
        <v>10.0875</v>
      </c>
      <c r="J686" s="139">
        <v>444.96</v>
      </c>
      <c r="K686" s="140">
        <v>544.86</v>
      </c>
    </row>
    <row r="687" spans="1:11" ht="26.4" customHeight="1">
      <c r="A687" t="s">
        <v>2359</v>
      </c>
      <c r="B687" s="134" t="s">
        <v>1714</v>
      </c>
      <c r="C687" s="135" t="s">
        <v>1325</v>
      </c>
      <c r="D687" s="136" t="s">
        <v>1326</v>
      </c>
      <c r="E687" s="135" t="s">
        <v>14</v>
      </c>
      <c r="F687" s="135" t="s">
        <v>22</v>
      </c>
      <c r="G687" s="137">
        <v>104</v>
      </c>
      <c r="H687" s="138">
        <v>17.579999999999998</v>
      </c>
      <c r="I687" s="138">
        <f t="shared" ca="1" si="40"/>
        <v>21.974999999999998</v>
      </c>
      <c r="J687" s="139">
        <v>1864.72</v>
      </c>
      <c r="K687" s="140">
        <v>2285.92</v>
      </c>
    </row>
    <row r="688" spans="1:11" ht="26.4" customHeight="1">
      <c r="A688" t="s">
        <v>2360</v>
      </c>
      <c r="B688" s="134" t="s">
        <v>1715</v>
      </c>
      <c r="C688" s="135" t="s">
        <v>1328</v>
      </c>
      <c r="D688" s="136" t="s">
        <v>1329</v>
      </c>
      <c r="E688" s="135" t="s">
        <v>14</v>
      </c>
      <c r="F688" s="135" t="s">
        <v>22</v>
      </c>
      <c r="G688" s="137">
        <v>1</v>
      </c>
      <c r="H688" s="138">
        <v>20.7</v>
      </c>
      <c r="I688" s="138">
        <f t="shared" ca="1" si="40"/>
        <v>25.875</v>
      </c>
      <c r="J688" s="139">
        <v>21.08</v>
      </c>
      <c r="K688" s="140">
        <f t="shared" ca="1" si="41"/>
        <v>25.875</v>
      </c>
    </row>
    <row r="689" spans="1:12" ht="26.4" customHeight="1">
      <c r="A689" t="s">
        <v>2361</v>
      </c>
      <c r="B689" s="134" t="s">
        <v>1716</v>
      </c>
      <c r="C689" s="135" t="s">
        <v>1717</v>
      </c>
      <c r="D689" s="136" t="s">
        <v>1718</v>
      </c>
      <c r="E689" s="135" t="s">
        <v>14</v>
      </c>
      <c r="F689" s="135" t="s">
        <v>22</v>
      </c>
      <c r="G689" s="137">
        <v>14</v>
      </c>
      <c r="H689" s="138">
        <v>37.119999999999997</v>
      </c>
      <c r="I689" s="138">
        <f t="shared" ca="1" si="40"/>
        <v>46.4</v>
      </c>
      <c r="J689" s="139">
        <v>527.52</v>
      </c>
      <c r="K689" s="140">
        <v>649.6</v>
      </c>
    </row>
    <row r="690" spans="1:12" ht="24" customHeight="1">
      <c r="A690" t="s">
        <v>2362</v>
      </c>
      <c r="B690" s="134" t="s">
        <v>1719</v>
      </c>
      <c r="C690" s="135" t="s">
        <v>1720</v>
      </c>
      <c r="D690" s="136" t="s">
        <v>1721</v>
      </c>
      <c r="E690" s="135" t="s">
        <v>14</v>
      </c>
      <c r="F690" s="135" t="s">
        <v>22</v>
      </c>
      <c r="G690" s="137">
        <v>6</v>
      </c>
      <c r="H690" s="138">
        <v>36.729999999999997</v>
      </c>
      <c r="I690" s="138">
        <f t="shared" ca="1" si="40"/>
        <v>45.912499999999994</v>
      </c>
      <c r="J690" s="139">
        <v>223.68</v>
      </c>
      <c r="K690" s="140">
        <v>275.45999999999998</v>
      </c>
    </row>
    <row r="691" spans="1:12" ht="30" customHeight="1">
      <c r="A691" t="s">
        <v>2363</v>
      </c>
      <c r="B691" s="134" t="s">
        <v>1722</v>
      </c>
      <c r="C691" s="135" t="s">
        <v>1503</v>
      </c>
      <c r="D691" s="136" t="s">
        <v>1504</v>
      </c>
      <c r="E691" s="135" t="s">
        <v>14</v>
      </c>
      <c r="F691" s="135" t="s">
        <v>22</v>
      </c>
      <c r="G691" s="137">
        <v>39</v>
      </c>
      <c r="H691" s="138">
        <v>39.5</v>
      </c>
      <c r="I691" s="138">
        <f t="shared" ca="1" si="40"/>
        <v>49.375</v>
      </c>
      <c r="J691" s="139">
        <v>1555.71</v>
      </c>
      <c r="K691" s="140">
        <v>1925.82</v>
      </c>
    </row>
    <row r="692" spans="1:12" ht="31.2" customHeight="1">
      <c r="A692" t="s">
        <v>2364</v>
      </c>
      <c r="B692" s="134" t="s">
        <v>1723</v>
      </c>
      <c r="C692" s="135" t="s">
        <v>1506</v>
      </c>
      <c r="D692" s="136" t="s">
        <v>1507</v>
      </c>
      <c r="E692" s="135" t="s">
        <v>14</v>
      </c>
      <c r="F692" s="135" t="s">
        <v>22</v>
      </c>
      <c r="G692" s="137">
        <v>8</v>
      </c>
      <c r="H692" s="138">
        <v>34.32</v>
      </c>
      <c r="I692" s="138">
        <f t="shared" ca="1" si="40"/>
        <v>42.9</v>
      </c>
      <c r="J692" s="139">
        <v>277.52</v>
      </c>
      <c r="K692" s="140">
        <f t="shared" ca="1" si="41"/>
        <v>343.2</v>
      </c>
    </row>
    <row r="693" spans="1:12" ht="26.4" customHeight="1">
      <c r="A693" t="s">
        <v>2365</v>
      </c>
      <c r="B693" s="134" t="s">
        <v>1724</v>
      </c>
      <c r="C693" s="135" t="s">
        <v>1725</v>
      </c>
      <c r="D693" s="136" t="s">
        <v>1726</v>
      </c>
      <c r="E693" s="135" t="s">
        <v>14</v>
      </c>
      <c r="F693" s="135" t="s">
        <v>22</v>
      </c>
      <c r="G693" s="137">
        <v>3</v>
      </c>
      <c r="H693" s="138">
        <v>83.78</v>
      </c>
      <c r="I693" s="138">
        <f t="shared" ca="1" si="40"/>
        <v>104.72499999999999</v>
      </c>
      <c r="J693" s="139">
        <v>252.75</v>
      </c>
      <c r="K693" s="140">
        <v>314.19</v>
      </c>
    </row>
    <row r="694" spans="1:12" ht="28.8" customHeight="1">
      <c r="A694" t="s">
        <v>2366</v>
      </c>
      <c r="B694" s="134" t="s">
        <v>1727</v>
      </c>
      <c r="C694" s="135" t="s">
        <v>1728</v>
      </c>
      <c r="D694" s="136" t="s">
        <v>1729</v>
      </c>
      <c r="E694" s="135" t="s">
        <v>14</v>
      </c>
      <c r="F694" s="135" t="s">
        <v>22</v>
      </c>
      <c r="G694" s="137">
        <v>2</v>
      </c>
      <c r="H694" s="138">
        <v>13.51</v>
      </c>
      <c r="I694" s="138">
        <f t="shared" ca="1" si="40"/>
        <v>16.887499999999999</v>
      </c>
      <c r="J694" s="139">
        <v>27.48</v>
      </c>
      <c r="K694" s="140">
        <f t="shared" ca="1" si="41"/>
        <v>33.774999999999999</v>
      </c>
    </row>
    <row r="695" spans="1:12">
      <c r="A695" t="s">
        <v>2367</v>
      </c>
      <c r="B695" s="134" t="s">
        <v>1730</v>
      </c>
      <c r="C695" s="135" t="s">
        <v>1731</v>
      </c>
      <c r="D695" s="136" t="s">
        <v>1732</v>
      </c>
      <c r="E695" s="135" t="s">
        <v>26</v>
      </c>
      <c r="F695" s="135" t="s">
        <v>22</v>
      </c>
      <c r="G695" s="137">
        <v>2</v>
      </c>
      <c r="H695" s="138">
        <v>387.67</v>
      </c>
      <c r="I695" s="138">
        <f t="shared" ca="1" si="40"/>
        <v>484.58750000000003</v>
      </c>
      <c r="J695" s="139">
        <v>775.34</v>
      </c>
      <c r="K695" s="140">
        <f t="shared" ca="1" si="41"/>
        <v>969.17500000000007</v>
      </c>
    </row>
    <row r="696" spans="1:12">
      <c r="A696" t="s">
        <v>2368</v>
      </c>
      <c r="B696" s="131" t="s">
        <v>1733</v>
      </c>
      <c r="C696" s="154" t="s">
        <v>1734</v>
      </c>
      <c r="D696" s="154"/>
      <c r="E696" s="154"/>
      <c r="F696" s="154"/>
      <c r="G696" s="154"/>
      <c r="H696" s="154"/>
      <c r="I696" s="131"/>
      <c r="J696" s="132">
        <v>4634.43</v>
      </c>
      <c r="K696" s="133">
        <f ca="1">SUM(K697:K700)</f>
        <v>5780.53</v>
      </c>
    </row>
    <row r="697" spans="1:12" ht="26.4" customHeight="1">
      <c r="A697" t="s">
        <v>2369</v>
      </c>
      <c r="B697" s="134" t="s">
        <v>1735</v>
      </c>
      <c r="C697" s="135" t="s">
        <v>1736</v>
      </c>
      <c r="D697" s="136" t="s">
        <v>1737</v>
      </c>
      <c r="E697" s="135" t="s">
        <v>26</v>
      </c>
      <c r="F697" s="135" t="s">
        <v>22</v>
      </c>
      <c r="G697" s="137">
        <v>8</v>
      </c>
      <c r="H697" s="138">
        <v>423.32</v>
      </c>
      <c r="I697" s="138">
        <f t="shared" ca="1" si="40"/>
        <v>529.15</v>
      </c>
      <c r="J697" s="139">
        <v>3386.56</v>
      </c>
      <c r="K697" s="140">
        <f t="shared" ca="1" si="41"/>
        <v>4233.2</v>
      </c>
    </row>
    <row r="698" spans="1:12" ht="28.2" customHeight="1">
      <c r="A698" t="s">
        <v>2370</v>
      </c>
      <c r="B698" s="134" t="s">
        <v>1738</v>
      </c>
      <c r="C698" s="135" t="s">
        <v>1739</v>
      </c>
      <c r="D698" s="136" t="s">
        <v>1740</v>
      </c>
      <c r="E698" s="135" t="s">
        <v>14</v>
      </c>
      <c r="F698" s="135" t="s">
        <v>22</v>
      </c>
      <c r="G698" s="137">
        <v>1</v>
      </c>
      <c r="H698" s="138">
        <v>575.27</v>
      </c>
      <c r="I698" s="138">
        <f t="shared" ca="1" si="40"/>
        <v>719.08749999999998</v>
      </c>
      <c r="J698" s="139">
        <v>581.6</v>
      </c>
      <c r="K698" s="140">
        <f t="shared" ca="1" si="41"/>
        <v>719.08749999999998</v>
      </c>
      <c r="L698" s="146"/>
    </row>
    <row r="699" spans="1:12" ht="25.2" customHeight="1">
      <c r="A699" t="s">
        <v>2371</v>
      </c>
      <c r="B699" s="134" t="s">
        <v>1741</v>
      </c>
      <c r="C699" s="135" t="s">
        <v>1742</v>
      </c>
      <c r="D699" s="136" t="s">
        <v>1743</v>
      </c>
      <c r="E699" s="135" t="s">
        <v>14</v>
      </c>
      <c r="F699" s="135" t="s">
        <v>22</v>
      </c>
      <c r="G699" s="137">
        <v>1</v>
      </c>
      <c r="H699" s="138">
        <v>435.65</v>
      </c>
      <c r="I699" s="138">
        <f t="shared" ca="1" si="40"/>
        <v>544.5625</v>
      </c>
      <c r="J699" s="139">
        <v>436.89</v>
      </c>
      <c r="K699" s="140">
        <f t="shared" ca="1" si="41"/>
        <v>544.5625</v>
      </c>
    </row>
    <row r="700" spans="1:12" ht="28.8" customHeight="1">
      <c r="A700" t="s">
        <v>2372</v>
      </c>
      <c r="B700" s="134" t="s">
        <v>1744</v>
      </c>
      <c r="C700" s="135" t="s">
        <v>1745</v>
      </c>
      <c r="D700" s="136" t="s">
        <v>1746</v>
      </c>
      <c r="E700" s="135" t="s">
        <v>14</v>
      </c>
      <c r="F700" s="135" t="s">
        <v>22</v>
      </c>
      <c r="G700" s="137">
        <v>6</v>
      </c>
      <c r="H700" s="138">
        <v>37.82</v>
      </c>
      <c r="I700" s="138">
        <f t="shared" ca="1" si="40"/>
        <v>47.274999999999999</v>
      </c>
      <c r="J700" s="139">
        <v>229.38</v>
      </c>
      <c r="K700" s="140">
        <v>283.68</v>
      </c>
    </row>
    <row r="701" spans="1:12">
      <c r="A701" t="s">
        <v>2373</v>
      </c>
      <c r="B701" s="131" t="s">
        <v>1747</v>
      </c>
      <c r="C701" s="154" t="s">
        <v>1748</v>
      </c>
      <c r="D701" s="154"/>
      <c r="E701" s="154"/>
      <c r="F701" s="154"/>
      <c r="G701" s="154"/>
      <c r="H701" s="154"/>
      <c r="I701" s="131"/>
      <c r="J701" s="132">
        <v>61371.472000000002</v>
      </c>
      <c r="K701" s="133">
        <f ca="1">SUM(K702:K710)</f>
        <v>76529.604999999996</v>
      </c>
    </row>
    <row r="702" spans="1:12" ht="26.4" customHeight="1">
      <c r="A702" t="s">
        <v>2374</v>
      </c>
      <c r="B702" s="134" t="s">
        <v>1749</v>
      </c>
      <c r="C702" s="135" t="s">
        <v>1459</v>
      </c>
      <c r="D702" s="136" t="s">
        <v>1460</v>
      </c>
      <c r="E702" s="135" t="s">
        <v>14</v>
      </c>
      <c r="F702" s="135" t="s">
        <v>30</v>
      </c>
      <c r="G702" s="137">
        <v>218</v>
      </c>
      <c r="H702" s="138">
        <v>16.920000000000002</v>
      </c>
      <c r="I702" s="138">
        <f t="shared" ca="1" si="40"/>
        <v>21.150000000000002</v>
      </c>
      <c r="J702" s="139">
        <v>3751.78</v>
      </c>
      <c r="K702" s="140">
        <f t="shared" ca="1" si="41"/>
        <v>4610.7000000000007</v>
      </c>
    </row>
    <row r="703" spans="1:12" ht="30" customHeight="1">
      <c r="A703" t="s">
        <v>2375</v>
      </c>
      <c r="B703" s="134" t="s">
        <v>1750</v>
      </c>
      <c r="C703" s="135" t="s">
        <v>1459</v>
      </c>
      <c r="D703" s="136" t="s">
        <v>1460</v>
      </c>
      <c r="E703" s="135" t="s">
        <v>14</v>
      </c>
      <c r="F703" s="135" t="s">
        <v>30</v>
      </c>
      <c r="G703" s="137">
        <v>286.39999999999998</v>
      </c>
      <c r="H703" s="138">
        <v>16.920000000000002</v>
      </c>
      <c r="I703" s="138">
        <f t="shared" ca="1" si="40"/>
        <v>21.150000000000002</v>
      </c>
      <c r="J703" s="139">
        <v>4928.9440000000004</v>
      </c>
      <c r="K703" s="140">
        <f t="shared" ca="1" si="41"/>
        <v>6057.3600000000006</v>
      </c>
    </row>
    <row r="704" spans="1:12" ht="28.8" customHeight="1">
      <c r="A704" t="s">
        <v>2376</v>
      </c>
      <c r="B704" s="134" t="s">
        <v>1751</v>
      </c>
      <c r="C704" s="135" t="s">
        <v>1462</v>
      </c>
      <c r="D704" s="136" t="s">
        <v>1463</v>
      </c>
      <c r="E704" s="135" t="s">
        <v>14</v>
      </c>
      <c r="F704" s="135" t="s">
        <v>30</v>
      </c>
      <c r="G704" s="137">
        <v>9.9</v>
      </c>
      <c r="H704" s="138">
        <v>19.8</v>
      </c>
      <c r="I704" s="138">
        <f t="shared" ca="1" si="40"/>
        <v>24.75</v>
      </c>
      <c r="J704" s="139">
        <v>198.89099999999999</v>
      </c>
      <c r="K704" s="140">
        <f t="shared" ca="1" si="41"/>
        <v>245.02500000000001</v>
      </c>
    </row>
    <row r="705" spans="1:11" ht="28.8" customHeight="1">
      <c r="A705" t="s">
        <v>2377</v>
      </c>
      <c r="B705" s="134" t="s">
        <v>1752</v>
      </c>
      <c r="C705" s="135" t="s">
        <v>1572</v>
      </c>
      <c r="D705" s="136" t="s">
        <v>1573</v>
      </c>
      <c r="E705" s="135" t="s">
        <v>26</v>
      </c>
      <c r="F705" s="135" t="s">
        <v>30</v>
      </c>
      <c r="G705" s="137">
        <v>29.8</v>
      </c>
      <c r="H705" s="138">
        <v>110.84</v>
      </c>
      <c r="I705" s="138">
        <f t="shared" ca="1" si="40"/>
        <v>138.55000000000001</v>
      </c>
      <c r="J705" s="139">
        <v>3303.0320000000002</v>
      </c>
      <c r="K705" s="140">
        <f t="shared" ca="1" si="41"/>
        <v>4128.7900000000009</v>
      </c>
    </row>
    <row r="706" spans="1:11" ht="30" customHeight="1">
      <c r="A706" t="s">
        <v>2378</v>
      </c>
      <c r="B706" s="134" t="s">
        <v>1753</v>
      </c>
      <c r="C706" s="135" t="s">
        <v>1471</v>
      </c>
      <c r="D706" s="136" t="s">
        <v>1472</v>
      </c>
      <c r="E706" s="135" t="s">
        <v>26</v>
      </c>
      <c r="F706" s="135" t="s">
        <v>30</v>
      </c>
      <c r="G706" s="137">
        <v>23.6</v>
      </c>
      <c r="H706" s="138">
        <v>32.35</v>
      </c>
      <c r="I706" s="138">
        <f t="shared" ca="1" si="40"/>
        <v>40.4375</v>
      </c>
      <c r="J706" s="139">
        <v>763.46</v>
      </c>
      <c r="K706" s="140">
        <v>954.38</v>
      </c>
    </row>
    <row r="707" spans="1:11" ht="24.6" customHeight="1">
      <c r="A707" t="s">
        <v>2379</v>
      </c>
      <c r="B707" s="134" t="s">
        <v>1754</v>
      </c>
      <c r="C707" s="135" t="s">
        <v>1474</v>
      </c>
      <c r="D707" s="136" t="s">
        <v>1475</v>
      </c>
      <c r="E707" s="135" t="s">
        <v>26</v>
      </c>
      <c r="F707" s="135" t="s">
        <v>30</v>
      </c>
      <c r="G707" s="137">
        <v>141.80000000000001</v>
      </c>
      <c r="H707" s="138">
        <v>46.27</v>
      </c>
      <c r="I707" s="138">
        <f t="shared" ca="1" si="40"/>
        <v>57.837500000000006</v>
      </c>
      <c r="J707" s="139">
        <v>6561.0860000000002</v>
      </c>
      <c r="K707" s="140">
        <v>8201.7099999999991</v>
      </c>
    </row>
    <row r="708" spans="1:11" ht="29.4" customHeight="1">
      <c r="A708" t="s">
        <v>2380</v>
      </c>
      <c r="B708" s="134" t="s">
        <v>1755</v>
      </c>
      <c r="C708" s="135" t="s">
        <v>1477</v>
      </c>
      <c r="D708" s="136" t="s">
        <v>1478</v>
      </c>
      <c r="E708" s="135" t="s">
        <v>26</v>
      </c>
      <c r="F708" s="135" t="s">
        <v>30</v>
      </c>
      <c r="G708" s="137">
        <v>34</v>
      </c>
      <c r="H708" s="138">
        <v>39.869999999999997</v>
      </c>
      <c r="I708" s="138">
        <f t="shared" ca="1" si="40"/>
        <v>49.837499999999999</v>
      </c>
      <c r="J708" s="139">
        <v>1355.58</v>
      </c>
      <c r="K708" s="140">
        <v>1694.56</v>
      </c>
    </row>
    <row r="709" spans="1:11" ht="25.8" customHeight="1">
      <c r="A709" t="s">
        <v>2381</v>
      </c>
      <c r="B709" s="134" t="s">
        <v>1756</v>
      </c>
      <c r="C709" s="135" t="s">
        <v>1480</v>
      </c>
      <c r="D709" s="136" t="s">
        <v>1481</v>
      </c>
      <c r="E709" s="135" t="s">
        <v>26</v>
      </c>
      <c r="F709" s="135" t="s">
        <v>30</v>
      </c>
      <c r="G709" s="137">
        <v>36.299999999999997</v>
      </c>
      <c r="H709" s="138">
        <v>55.79</v>
      </c>
      <c r="I709" s="138">
        <f t="shared" ca="1" si="40"/>
        <v>69.737499999999997</v>
      </c>
      <c r="J709" s="139">
        <v>2025.1769999999999</v>
      </c>
      <c r="K709" s="140">
        <v>2531.56</v>
      </c>
    </row>
    <row r="710" spans="1:11" ht="26.4" customHeight="1">
      <c r="A710" t="s">
        <v>2382</v>
      </c>
      <c r="B710" s="134" t="s">
        <v>1757</v>
      </c>
      <c r="C710" s="135" t="s">
        <v>1575</v>
      </c>
      <c r="D710" s="136" t="s">
        <v>1576</v>
      </c>
      <c r="E710" s="135" t="s">
        <v>26</v>
      </c>
      <c r="F710" s="135" t="s">
        <v>30</v>
      </c>
      <c r="G710" s="137">
        <v>223.3</v>
      </c>
      <c r="H710" s="138">
        <v>172.34</v>
      </c>
      <c r="I710" s="138">
        <f t="shared" ca="1" si="40"/>
        <v>215.42500000000001</v>
      </c>
      <c r="J710" s="139">
        <v>38483.521999999997</v>
      </c>
      <c r="K710" s="140">
        <v>48105.52</v>
      </c>
    </row>
    <row r="711" spans="1:11">
      <c r="A711" t="s">
        <v>2383</v>
      </c>
      <c r="B711" s="131" t="s">
        <v>1758</v>
      </c>
      <c r="C711" s="154" t="s">
        <v>1759</v>
      </c>
      <c r="D711" s="154"/>
      <c r="E711" s="154"/>
      <c r="F711" s="154"/>
      <c r="G711" s="154"/>
      <c r="H711" s="154"/>
      <c r="I711" s="131"/>
      <c r="J711" s="132">
        <v>9714.7199999999993</v>
      </c>
      <c r="K711" s="133">
        <f ca="1">SUM(K712:K713)</f>
        <v>12143.43</v>
      </c>
    </row>
    <row r="712" spans="1:11">
      <c r="A712" t="s">
        <v>2384</v>
      </c>
      <c r="B712" s="134" t="s">
        <v>1760</v>
      </c>
      <c r="C712" s="135" t="s">
        <v>1761</v>
      </c>
      <c r="D712" s="136" t="s">
        <v>1762</v>
      </c>
      <c r="E712" s="135" t="s">
        <v>26</v>
      </c>
      <c r="F712" s="135" t="s">
        <v>30</v>
      </c>
      <c r="G712" s="137">
        <v>6</v>
      </c>
      <c r="H712" s="138">
        <v>114.02</v>
      </c>
      <c r="I712" s="138">
        <f t="shared" ca="1" si="40"/>
        <v>142.52500000000001</v>
      </c>
      <c r="J712" s="139">
        <v>684.12</v>
      </c>
      <c r="K712" s="140">
        <v>855.18</v>
      </c>
    </row>
    <row r="713" spans="1:11" ht="21.6" customHeight="1">
      <c r="A713" t="s">
        <v>2385</v>
      </c>
      <c r="B713" s="134" t="s">
        <v>1763</v>
      </c>
      <c r="C713" s="135" t="s">
        <v>1764</v>
      </c>
      <c r="D713" s="136" t="s">
        <v>1765</v>
      </c>
      <c r="E713" s="135" t="s">
        <v>26</v>
      </c>
      <c r="F713" s="135" t="s">
        <v>1697</v>
      </c>
      <c r="G713" s="137">
        <v>1</v>
      </c>
      <c r="H713" s="138">
        <v>9030.6</v>
      </c>
      <c r="I713" s="138">
        <f t="shared" ca="1" si="40"/>
        <v>11288.25</v>
      </c>
      <c r="J713" s="139">
        <v>9030.6</v>
      </c>
      <c r="K713" s="140">
        <f t="shared" ca="1" si="41"/>
        <v>11288.25</v>
      </c>
    </row>
    <row r="714" spans="1:11">
      <c r="A714" t="s">
        <v>2386</v>
      </c>
      <c r="B714" s="131" t="s">
        <v>1766</v>
      </c>
      <c r="C714" s="154" t="s">
        <v>1767</v>
      </c>
      <c r="D714" s="154"/>
      <c r="E714" s="154"/>
      <c r="F714" s="154"/>
      <c r="G714" s="154"/>
      <c r="H714" s="154"/>
      <c r="I714" s="131"/>
      <c r="J714" s="132">
        <v>47374.985399999998</v>
      </c>
      <c r="K714" s="133">
        <f ca="1">SUM(K715:K729)</f>
        <v>59023.537499999991</v>
      </c>
    </row>
    <row r="715" spans="1:11" ht="19.8" customHeight="1">
      <c r="A715" t="s">
        <v>2387</v>
      </c>
      <c r="B715" s="134" t="s">
        <v>1768</v>
      </c>
      <c r="C715" s="135" t="s">
        <v>1769</v>
      </c>
      <c r="D715" s="136" t="s">
        <v>1770</v>
      </c>
      <c r="E715" s="135" t="s">
        <v>14</v>
      </c>
      <c r="F715" s="135" t="s">
        <v>22</v>
      </c>
      <c r="G715" s="137">
        <v>1</v>
      </c>
      <c r="H715" s="138">
        <v>150.24</v>
      </c>
      <c r="I715" s="138">
        <f t="shared" ca="1" si="40"/>
        <v>187.8</v>
      </c>
      <c r="J715" s="139">
        <v>150.4</v>
      </c>
      <c r="K715" s="140">
        <f t="shared" ca="1" si="41"/>
        <v>187.8</v>
      </c>
    </row>
    <row r="716" spans="1:11" ht="23.4" customHeight="1">
      <c r="A716" t="s">
        <v>2388</v>
      </c>
      <c r="B716" s="134" t="s">
        <v>1771</v>
      </c>
      <c r="C716" s="135" t="s">
        <v>1772</v>
      </c>
      <c r="D716" s="136" t="s">
        <v>1773</v>
      </c>
      <c r="E716" s="135" t="s">
        <v>14</v>
      </c>
      <c r="F716" s="135" t="s">
        <v>22</v>
      </c>
      <c r="G716" s="137">
        <v>37</v>
      </c>
      <c r="H716" s="138">
        <v>31.67</v>
      </c>
      <c r="I716" s="138">
        <f t="shared" ca="1" si="40"/>
        <v>39.587500000000006</v>
      </c>
      <c r="J716" s="139">
        <v>1180.3</v>
      </c>
      <c r="K716" s="140">
        <v>1464.83</v>
      </c>
    </row>
    <row r="717" spans="1:11" ht="25.8" customHeight="1">
      <c r="A717" t="s">
        <v>2389</v>
      </c>
      <c r="B717" s="134" t="s">
        <v>1774</v>
      </c>
      <c r="C717" s="135" t="s">
        <v>1775</v>
      </c>
      <c r="D717" s="136" t="s">
        <v>1776</v>
      </c>
      <c r="E717" s="135" t="s">
        <v>14</v>
      </c>
      <c r="F717" s="135" t="s">
        <v>22</v>
      </c>
      <c r="G717" s="137">
        <v>6</v>
      </c>
      <c r="H717" s="138">
        <v>28.91</v>
      </c>
      <c r="I717" s="138">
        <f t="shared" ca="1" si="40"/>
        <v>36.137500000000003</v>
      </c>
      <c r="J717" s="139">
        <v>176.1</v>
      </c>
      <c r="K717" s="140">
        <v>216.84</v>
      </c>
    </row>
    <row r="718" spans="1:11">
      <c r="A718" t="s">
        <v>2390</v>
      </c>
      <c r="B718" s="134" t="s">
        <v>1777</v>
      </c>
      <c r="C718" s="135" t="s">
        <v>1778</v>
      </c>
      <c r="D718" s="136" t="s">
        <v>1779</v>
      </c>
      <c r="E718" s="135" t="s">
        <v>26</v>
      </c>
      <c r="F718" s="135" t="s">
        <v>22</v>
      </c>
      <c r="G718" s="137">
        <v>1</v>
      </c>
      <c r="H718" s="138">
        <v>406.39</v>
      </c>
      <c r="I718" s="138">
        <f t="shared" ca="1" si="40"/>
        <v>507.98749999999995</v>
      </c>
      <c r="J718" s="139">
        <v>406.39</v>
      </c>
      <c r="K718" s="140">
        <f t="shared" ca="1" si="41"/>
        <v>507.98749999999995</v>
      </c>
    </row>
    <row r="719" spans="1:11">
      <c r="A719" t="s">
        <v>2391</v>
      </c>
      <c r="B719" s="134" t="s">
        <v>1780</v>
      </c>
      <c r="C719" s="135" t="s">
        <v>1781</v>
      </c>
      <c r="D719" s="136" t="s">
        <v>1782</v>
      </c>
      <c r="E719" s="135" t="s">
        <v>26</v>
      </c>
      <c r="F719" s="135" t="s">
        <v>22</v>
      </c>
      <c r="G719" s="137">
        <v>2</v>
      </c>
      <c r="H719" s="138">
        <v>339.56</v>
      </c>
      <c r="I719" s="138">
        <f t="shared" ca="1" si="40"/>
        <v>424.45</v>
      </c>
      <c r="J719" s="139">
        <v>679.12</v>
      </c>
      <c r="K719" s="140">
        <f t="shared" ca="1" si="41"/>
        <v>848.9</v>
      </c>
    </row>
    <row r="720" spans="1:11">
      <c r="A720" t="s">
        <v>2392</v>
      </c>
      <c r="B720" s="134" t="s">
        <v>1783</v>
      </c>
      <c r="C720" s="135" t="s">
        <v>1784</v>
      </c>
      <c r="D720" s="136" t="s">
        <v>1785</v>
      </c>
      <c r="E720" s="135" t="s">
        <v>14</v>
      </c>
      <c r="F720" s="135" t="s">
        <v>54</v>
      </c>
      <c r="G720" s="137">
        <v>1.25</v>
      </c>
      <c r="H720" s="138">
        <v>78.88</v>
      </c>
      <c r="I720" s="138">
        <f t="shared" ca="1" si="40"/>
        <v>98.6</v>
      </c>
      <c r="J720" s="139">
        <v>100.77500000000001</v>
      </c>
      <c r="K720" s="140">
        <f t="shared" ca="1" si="41"/>
        <v>123.25</v>
      </c>
    </row>
    <row r="721" spans="1:11">
      <c r="A721" t="s">
        <v>2393</v>
      </c>
      <c r="B721" s="134" t="s">
        <v>1786</v>
      </c>
      <c r="C721" s="135" t="s">
        <v>1787</v>
      </c>
      <c r="D721" s="136" t="s">
        <v>1788</v>
      </c>
      <c r="E721" s="135" t="s">
        <v>14</v>
      </c>
      <c r="F721" s="135" t="s">
        <v>54</v>
      </c>
      <c r="G721" s="137">
        <v>0.1</v>
      </c>
      <c r="H721" s="138">
        <v>25.36</v>
      </c>
      <c r="I721" s="138">
        <f t="shared" ca="1" si="40"/>
        <v>31.7</v>
      </c>
      <c r="J721" s="139">
        <v>2.59</v>
      </c>
      <c r="K721" s="140">
        <f t="shared" ca="1" si="41"/>
        <v>3.17</v>
      </c>
    </row>
    <row r="722" spans="1:11" ht="25.8" customHeight="1">
      <c r="A722" t="s">
        <v>2394</v>
      </c>
      <c r="B722" s="134" t="s">
        <v>1789</v>
      </c>
      <c r="C722" s="135" t="s">
        <v>1790</v>
      </c>
      <c r="D722" s="136" t="s">
        <v>1791</v>
      </c>
      <c r="E722" s="135" t="s">
        <v>14</v>
      </c>
      <c r="F722" s="135" t="s">
        <v>22</v>
      </c>
      <c r="G722" s="137">
        <v>26</v>
      </c>
      <c r="H722" s="138">
        <v>97.63</v>
      </c>
      <c r="I722" s="138">
        <f t="shared" ca="1" si="40"/>
        <v>122.03749999999999</v>
      </c>
      <c r="J722" s="139">
        <v>2546.1799999999998</v>
      </c>
      <c r="K722" s="140">
        <v>3173.04</v>
      </c>
    </row>
    <row r="723" spans="1:11" ht="32.4" customHeight="1">
      <c r="A723" t="s">
        <v>2395</v>
      </c>
      <c r="B723" s="134" t="s">
        <v>1792</v>
      </c>
      <c r="C723" s="135" t="s">
        <v>1793</v>
      </c>
      <c r="D723" s="136" t="s">
        <v>1794</v>
      </c>
      <c r="E723" s="135" t="s">
        <v>14</v>
      </c>
      <c r="F723" s="135" t="s">
        <v>30</v>
      </c>
      <c r="G723" s="137">
        <v>70</v>
      </c>
      <c r="H723" s="138">
        <v>62.93</v>
      </c>
      <c r="I723" s="138">
        <f t="shared" ca="1" si="40"/>
        <v>78.662499999999994</v>
      </c>
      <c r="J723" s="139">
        <v>4442.8999999999996</v>
      </c>
      <c r="K723" s="140">
        <v>5506.2</v>
      </c>
    </row>
    <row r="724" spans="1:11" ht="24.6" customHeight="1">
      <c r="A724" t="s">
        <v>2396</v>
      </c>
      <c r="B724" s="134" t="s">
        <v>1795</v>
      </c>
      <c r="C724" s="135" t="s">
        <v>1796</v>
      </c>
      <c r="D724" s="136" t="s">
        <v>1797</v>
      </c>
      <c r="E724" s="135" t="s">
        <v>14</v>
      </c>
      <c r="F724" s="135" t="s">
        <v>30</v>
      </c>
      <c r="G724" s="137">
        <v>616</v>
      </c>
      <c r="H724" s="138">
        <v>48.78</v>
      </c>
      <c r="I724" s="138">
        <f t="shared" ca="1" si="40"/>
        <v>60.975000000000001</v>
      </c>
      <c r="J724" s="139">
        <v>30079.279999999999</v>
      </c>
      <c r="K724" s="140">
        <v>37563.68</v>
      </c>
    </row>
    <row r="725" spans="1:11" ht="25.8" customHeight="1">
      <c r="A725" t="s">
        <v>2397</v>
      </c>
      <c r="B725" s="134" t="s">
        <v>1798</v>
      </c>
      <c r="C725" s="135" t="s">
        <v>1799</v>
      </c>
      <c r="D725" s="136" t="s">
        <v>1800</v>
      </c>
      <c r="E725" s="135" t="s">
        <v>14</v>
      </c>
      <c r="F725" s="135" t="s">
        <v>22</v>
      </c>
      <c r="G725" s="137">
        <v>1</v>
      </c>
      <c r="H725" s="138">
        <v>46.88</v>
      </c>
      <c r="I725" s="138">
        <f t="shared" ca="1" si="40"/>
        <v>58.6</v>
      </c>
      <c r="J725" s="139">
        <v>47.06</v>
      </c>
      <c r="K725" s="140">
        <f t="shared" ca="1" si="41"/>
        <v>58.6</v>
      </c>
    </row>
    <row r="726" spans="1:11" ht="17.399999999999999" customHeight="1">
      <c r="A726" t="s">
        <v>2398</v>
      </c>
      <c r="B726" s="134" t="s">
        <v>1801</v>
      </c>
      <c r="C726" s="135" t="s">
        <v>1802</v>
      </c>
      <c r="D726" s="136" t="s">
        <v>1803</v>
      </c>
      <c r="E726" s="135" t="s">
        <v>26</v>
      </c>
      <c r="F726" s="135" t="s">
        <v>22</v>
      </c>
      <c r="G726" s="137">
        <v>37</v>
      </c>
      <c r="H726" s="138">
        <v>18.84</v>
      </c>
      <c r="I726" s="138">
        <f t="shared" ca="1" si="40"/>
        <v>23.55</v>
      </c>
      <c r="J726" s="139">
        <v>697.08</v>
      </c>
      <c r="K726" s="140">
        <f t="shared" ca="1" si="41"/>
        <v>871.35</v>
      </c>
    </row>
    <row r="727" spans="1:11">
      <c r="A727" t="s">
        <v>2399</v>
      </c>
      <c r="B727" s="134" t="s">
        <v>1804</v>
      </c>
      <c r="C727" s="135" t="s">
        <v>1805</v>
      </c>
      <c r="D727" s="136" t="s">
        <v>1806</v>
      </c>
      <c r="E727" s="135" t="s">
        <v>26</v>
      </c>
      <c r="F727" s="135" t="s">
        <v>22</v>
      </c>
      <c r="G727" s="137">
        <v>26</v>
      </c>
      <c r="H727" s="138">
        <v>66.06</v>
      </c>
      <c r="I727" s="138">
        <f t="shared" ca="1" si="40"/>
        <v>82.575000000000003</v>
      </c>
      <c r="J727" s="139">
        <v>1717.56</v>
      </c>
      <c r="K727" s="140">
        <v>2147.08</v>
      </c>
    </row>
    <row r="728" spans="1:11">
      <c r="A728" t="s">
        <v>2400</v>
      </c>
      <c r="B728" s="134" t="s">
        <v>1807</v>
      </c>
      <c r="C728" s="135" t="s">
        <v>1808</v>
      </c>
      <c r="D728" s="136" t="s">
        <v>1809</v>
      </c>
      <c r="E728" s="135" t="s">
        <v>14</v>
      </c>
      <c r="F728" s="135" t="s">
        <v>112</v>
      </c>
      <c r="G728" s="137">
        <v>33.32</v>
      </c>
      <c r="H728" s="138">
        <v>11.16</v>
      </c>
      <c r="I728" s="138">
        <f t="shared" ca="1" si="40"/>
        <v>13.95</v>
      </c>
      <c r="J728" s="139">
        <v>373.85039999999998</v>
      </c>
      <c r="K728" s="140">
        <v>464.81</v>
      </c>
    </row>
    <row r="729" spans="1:11" ht="31.8" customHeight="1">
      <c r="A729" t="s">
        <v>2401</v>
      </c>
      <c r="B729" s="134" t="s">
        <v>1810</v>
      </c>
      <c r="C729" s="135" t="s">
        <v>1811</v>
      </c>
      <c r="D729" s="136" t="s">
        <v>1812</v>
      </c>
      <c r="E729" s="135" t="s">
        <v>14</v>
      </c>
      <c r="F729" s="135" t="s">
        <v>22</v>
      </c>
      <c r="G729" s="137">
        <v>180</v>
      </c>
      <c r="H729" s="138">
        <v>26.16</v>
      </c>
      <c r="I729" s="138">
        <f t="shared" ca="1" si="40"/>
        <v>32.700000000000003</v>
      </c>
      <c r="J729" s="139">
        <v>4775.3999999999996</v>
      </c>
      <c r="K729" s="140">
        <v>5886</v>
      </c>
    </row>
    <row r="730" spans="1:11">
      <c r="A730" t="s">
        <v>2402</v>
      </c>
      <c r="B730" s="131" t="s">
        <v>1813</v>
      </c>
      <c r="C730" s="154" t="s">
        <v>1814</v>
      </c>
      <c r="D730" s="154"/>
      <c r="E730" s="154"/>
      <c r="F730" s="154"/>
      <c r="G730" s="154"/>
      <c r="H730" s="154"/>
      <c r="I730" s="131"/>
      <c r="J730" s="132">
        <v>237137.1127</v>
      </c>
      <c r="K730" s="133">
        <f>SUM(K731:K743)</f>
        <v>296362.17000000004</v>
      </c>
    </row>
    <row r="731" spans="1:11" ht="20.399999999999999" customHeight="1">
      <c r="A731" t="s">
        <v>2403</v>
      </c>
      <c r="B731" s="134" t="s">
        <v>1815</v>
      </c>
      <c r="C731" s="135" t="s">
        <v>1816</v>
      </c>
      <c r="D731" s="136" t="s">
        <v>1817</v>
      </c>
      <c r="E731" s="135" t="s">
        <v>26</v>
      </c>
      <c r="F731" s="135" t="s">
        <v>22</v>
      </c>
      <c r="G731" s="137">
        <v>1</v>
      </c>
      <c r="H731" s="138">
        <v>4179.01</v>
      </c>
      <c r="I731" s="138">
        <f t="shared" ca="1" si="40"/>
        <v>5223.7625000000007</v>
      </c>
      <c r="J731" s="139">
        <v>4179.01</v>
      </c>
      <c r="K731" s="140">
        <v>5223.76</v>
      </c>
    </row>
    <row r="732" spans="1:11" ht="26.4" customHeight="1">
      <c r="A732" t="s">
        <v>2404</v>
      </c>
      <c r="B732" s="134" t="s">
        <v>1818</v>
      </c>
      <c r="C732" s="135" t="s">
        <v>1819</v>
      </c>
      <c r="D732" s="136" t="s">
        <v>1820</v>
      </c>
      <c r="E732" s="135" t="s">
        <v>26</v>
      </c>
      <c r="F732" s="135" t="s">
        <v>15</v>
      </c>
      <c r="G732" s="137">
        <v>89.08</v>
      </c>
      <c r="H732" s="138">
        <v>571.91999999999996</v>
      </c>
      <c r="I732" s="138">
        <f t="shared" ca="1" si="40"/>
        <v>714.9</v>
      </c>
      <c r="J732" s="139">
        <v>50946.633600000001</v>
      </c>
      <c r="K732" s="140">
        <v>63683.29</v>
      </c>
    </row>
    <row r="733" spans="1:11">
      <c r="A733" t="s">
        <v>2405</v>
      </c>
      <c r="B733" s="134" t="s">
        <v>1821</v>
      </c>
      <c r="C733" s="135" t="s">
        <v>1822</v>
      </c>
      <c r="D733" s="136" t="s">
        <v>1823</v>
      </c>
      <c r="E733" s="135" t="s">
        <v>26</v>
      </c>
      <c r="F733" s="135" t="s">
        <v>15</v>
      </c>
      <c r="G733" s="137">
        <v>29.16</v>
      </c>
      <c r="H733" s="138">
        <v>490.88</v>
      </c>
      <c r="I733" s="138">
        <f t="shared" ca="1" si="40"/>
        <v>613.6</v>
      </c>
      <c r="J733" s="139">
        <v>14314.060799999999</v>
      </c>
      <c r="K733" s="140">
        <v>17892.580000000002</v>
      </c>
    </row>
    <row r="734" spans="1:11">
      <c r="A734" t="s">
        <v>2406</v>
      </c>
      <c r="B734" s="134" t="s">
        <v>1824</v>
      </c>
      <c r="C734" s="135" t="s">
        <v>1825</v>
      </c>
      <c r="D734" s="136" t="s">
        <v>1826</v>
      </c>
      <c r="E734" s="135" t="s">
        <v>26</v>
      </c>
      <c r="F734" s="135" t="s">
        <v>15</v>
      </c>
      <c r="G734" s="137">
        <v>341.25</v>
      </c>
      <c r="H734" s="138">
        <v>251.09</v>
      </c>
      <c r="I734" s="138">
        <f t="shared" ca="1" si="40"/>
        <v>313.86250000000001</v>
      </c>
      <c r="J734" s="139">
        <v>85684.462499999994</v>
      </c>
      <c r="K734" s="140">
        <v>107104.73</v>
      </c>
    </row>
    <row r="735" spans="1:11" ht="38.4" customHeight="1">
      <c r="A735" t="s">
        <v>2407</v>
      </c>
      <c r="B735" s="134" t="s">
        <v>1827</v>
      </c>
      <c r="C735" s="135" t="s">
        <v>1828</v>
      </c>
      <c r="D735" s="136" t="s">
        <v>1829</v>
      </c>
      <c r="E735" s="135" t="s">
        <v>26</v>
      </c>
      <c r="F735" s="135" t="s">
        <v>22</v>
      </c>
      <c r="G735" s="137">
        <v>6</v>
      </c>
      <c r="H735" s="138">
        <v>620.95000000000005</v>
      </c>
      <c r="I735" s="138">
        <f t="shared" ca="1" si="40"/>
        <v>776.1875</v>
      </c>
      <c r="J735" s="139">
        <v>3725.7</v>
      </c>
      <c r="K735" s="140">
        <v>4657.1400000000003</v>
      </c>
    </row>
    <row r="736" spans="1:11">
      <c r="A736" t="s">
        <v>2408</v>
      </c>
      <c r="B736" s="134" t="s">
        <v>1830</v>
      </c>
      <c r="C736" s="135" t="s">
        <v>1831</v>
      </c>
      <c r="D736" s="136" t="s">
        <v>1832</v>
      </c>
      <c r="E736" s="135" t="s">
        <v>26</v>
      </c>
      <c r="F736" s="135" t="s">
        <v>30</v>
      </c>
      <c r="G736" s="137">
        <v>63.5</v>
      </c>
      <c r="H736" s="138">
        <v>263.27999999999997</v>
      </c>
      <c r="I736" s="138">
        <f t="shared" ca="1" si="40"/>
        <v>329.09999999999997</v>
      </c>
      <c r="J736" s="139">
        <v>16718.28</v>
      </c>
      <c r="K736" s="140">
        <v>20897.849999999999</v>
      </c>
    </row>
    <row r="737" spans="1:12" ht="22.2" customHeight="1">
      <c r="A737" t="s">
        <v>2409</v>
      </c>
      <c r="B737" s="134" t="s">
        <v>1833</v>
      </c>
      <c r="C737" s="135" t="s">
        <v>1834</v>
      </c>
      <c r="D737" s="136" t="s">
        <v>1835</v>
      </c>
      <c r="E737" s="135" t="s">
        <v>26</v>
      </c>
      <c r="F737" s="135" t="s">
        <v>15</v>
      </c>
      <c r="G737" s="137">
        <v>1.8</v>
      </c>
      <c r="H737" s="138">
        <v>490.88</v>
      </c>
      <c r="I737" s="138">
        <f t="shared" ca="1" si="40"/>
        <v>613.6</v>
      </c>
      <c r="J737" s="139">
        <v>883.58399999999995</v>
      </c>
      <c r="K737" s="140">
        <v>1104.48</v>
      </c>
    </row>
    <row r="738" spans="1:12">
      <c r="A738" t="s">
        <v>2410</v>
      </c>
      <c r="B738" s="134" t="s">
        <v>1836</v>
      </c>
      <c r="C738" s="135" t="s">
        <v>1837</v>
      </c>
      <c r="D738" s="136" t="s">
        <v>1838</v>
      </c>
      <c r="E738" s="135" t="s">
        <v>26</v>
      </c>
      <c r="F738" s="135" t="s">
        <v>30</v>
      </c>
      <c r="G738" s="137">
        <v>7.7</v>
      </c>
      <c r="H738" s="138">
        <v>537.47</v>
      </c>
      <c r="I738" s="138">
        <f t="shared" ca="1" si="40"/>
        <v>671.83750000000009</v>
      </c>
      <c r="J738" s="139">
        <v>4138.5190000000002</v>
      </c>
      <c r="K738" s="140">
        <v>5173.17</v>
      </c>
    </row>
    <row r="739" spans="1:12" ht="28.8" customHeight="1">
      <c r="A739" t="s">
        <v>2411</v>
      </c>
      <c r="B739" s="134" t="s">
        <v>1839</v>
      </c>
      <c r="C739" s="135" t="s">
        <v>1840</v>
      </c>
      <c r="D739" s="136" t="s">
        <v>1841</v>
      </c>
      <c r="E739" s="135" t="s">
        <v>26</v>
      </c>
      <c r="F739" s="135" t="s">
        <v>30</v>
      </c>
      <c r="G739" s="137">
        <v>237.12</v>
      </c>
      <c r="H739" s="138">
        <v>155.69</v>
      </c>
      <c r="I739" s="138">
        <f t="shared" ref="I739:I746" ca="1" si="42">(H739*J$5)+H739</f>
        <v>194.61250000000001</v>
      </c>
      <c r="J739" s="139">
        <v>36917.212800000001</v>
      </c>
      <c r="K739" s="140">
        <v>46145.919999999998</v>
      </c>
    </row>
    <row r="740" spans="1:12" ht="32.4" customHeight="1">
      <c r="A740" t="s">
        <v>2412</v>
      </c>
      <c r="B740" s="134" t="s">
        <v>1842</v>
      </c>
      <c r="C740" s="135" t="s">
        <v>1843</v>
      </c>
      <c r="D740" s="136" t="s">
        <v>1844</v>
      </c>
      <c r="E740" s="135" t="s">
        <v>14</v>
      </c>
      <c r="F740" s="135" t="s">
        <v>22</v>
      </c>
      <c r="G740" s="137">
        <v>118</v>
      </c>
      <c r="H740" s="138">
        <v>34.33</v>
      </c>
      <c r="I740" s="138">
        <f t="shared" ca="1" si="42"/>
        <v>42.912499999999994</v>
      </c>
      <c r="J740" s="139">
        <v>4096.96</v>
      </c>
      <c r="K740" s="140">
        <v>5063.38</v>
      </c>
    </row>
    <row r="741" spans="1:12">
      <c r="A741" t="s">
        <v>2413</v>
      </c>
      <c r="B741" s="134" t="s">
        <v>1845</v>
      </c>
      <c r="C741" s="135" t="s">
        <v>1846</v>
      </c>
      <c r="D741" s="136" t="s">
        <v>1847</v>
      </c>
      <c r="E741" s="135" t="s">
        <v>26</v>
      </c>
      <c r="F741" s="135" t="s">
        <v>1848</v>
      </c>
      <c r="G741" s="137">
        <v>1</v>
      </c>
      <c r="H741" s="138">
        <v>3000.42</v>
      </c>
      <c r="I741" s="138">
        <f t="shared" ca="1" si="42"/>
        <v>3750.5250000000001</v>
      </c>
      <c r="J741" s="139">
        <v>3000.42</v>
      </c>
      <c r="K741" s="140">
        <v>3750.53</v>
      </c>
    </row>
    <row r="742" spans="1:12" ht="18.600000000000001" customHeight="1">
      <c r="A742" t="s">
        <v>2414</v>
      </c>
      <c r="B742" s="134" t="s">
        <v>1849</v>
      </c>
      <c r="C742" s="135" t="s">
        <v>1850</v>
      </c>
      <c r="D742" s="136" t="s">
        <v>1851</v>
      </c>
      <c r="E742" s="135" t="s">
        <v>26</v>
      </c>
      <c r="F742" s="135" t="s">
        <v>1848</v>
      </c>
      <c r="G742" s="137">
        <v>1</v>
      </c>
      <c r="H742" s="138">
        <v>4758.28</v>
      </c>
      <c r="I742" s="138">
        <f t="shared" ca="1" si="42"/>
        <v>5947.8499999999995</v>
      </c>
      <c r="J742" s="139">
        <v>4758.28</v>
      </c>
      <c r="K742" s="140">
        <v>5947.85</v>
      </c>
    </row>
    <row r="743" spans="1:12">
      <c r="A743" t="s">
        <v>2415</v>
      </c>
      <c r="B743" s="134" t="s">
        <v>1852</v>
      </c>
      <c r="C743" s="135" t="s">
        <v>1853</v>
      </c>
      <c r="D743" s="136" t="s">
        <v>1854</v>
      </c>
      <c r="E743" s="135" t="s">
        <v>26</v>
      </c>
      <c r="F743" s="135" t="s">
        <v>1848</v>
      </c>
      <c r="G743" s="137">
        <v>1</v>
      </c>
      <c r="H743" s="138">
        <v>7773.99</v>
      </c>
      <c r="I743" s="138">
        <f t="shared" ca="1" si="42"/>
        <v>9717.4874999999993</v>
      </c>
      <c r="J743" s="139">
        <v>7773.99</v>
      </c>
      <c r="K743" s="140">
        <v>9717.49</v>
      </c>
    </row>
    <row r="744" spans="1:12">
      <c r="A744" t="s">
        <v>2416</v>
      </c>
      <c r="B744" s="131" t="s">
        <v>1855</v>
      </c>
      <c r="C744" s="154" t="s">
        <v>1856</v>
      </c>
      <c r="D744" s="154"/>
      <c r="E744" s="154"/>
      <c r="F744" s="154"/>
      <c r="G744" s="154"/>
      <c r="H744" s="154"/>
      <c r="I744" s="131"/>
      <c r="J744" s="132">
        <v>9948.9650000000001</v>
      </c>
      <c r="K744" s="143">
        <f>SUM(K745:K746)</f>
        <v>12213.63</v>
      </c>
    </row>
    <row r="745" spans="1:12" ht="18.600000000000001" customHeight="1">
      <c r="A745" t="s">
        <v>2417</v>
      </c>
      <c r="B745" s="134" t="s">
        <v>1857</v>
      </c>
      <c r="C745" s="135" t="s">
        <v>1858</v>
      </c>
      <c r="D745" s="136" t="s">
        <v>1859</v>
      </c>
      <c r="E745" s="135" t="s">
        <v>14</v>
      </c>
      <c r="F745" s="135" t="s">
        <v>15</v>
      </c>
      <c r="G745" s="137">
        <v>4112.5</v>
      </c>
      <c r="H745" s="138">
        <v>1.93</v>
      </c>
      <c r="I745" s="138">
        <f t="shared" ca="1" si="42"/>
        <v>2.4125000000000001</v>
      </c>
      <c r="J745" s="139">
        <v>8101.625</v>
      </c>
      <c r="K745" s="140">
        <v>9911.1299999999992</v>
      </c>
    </row>
    <row r="746" spans="1:12" ht="29.4" customHeight="1">
      <c r="A746" t="s">
        <v>2418</v>
      </c>
      <c r="B746" s="134" t="s">
        <v>1860</v>
      </c>
      <c r="C746" s="135" t="s">
        <v>12</v>
      </c>
      <c r="D746" s="136" t="s">
        <v>13</v>
      </c>
      <c r="E746" s="135" t="s">
        <v>14</v>
      </c>
      <c r="F746" s="135" t="s">
        <v>15</v>
      </c>
      <c r="G746" s="137">
        <v>6</v>
      </c>
      <c r="H746" s="138">
        <v>307</v>
      </c>
      <c r="I746" s="138">
        <f t="shared" ca="1" si="42"/>
        <v>383.75</v>
      </c>
      <c r="J746" s="139">
        <v>1847.34</v>
      </c>
      <c r="K746" s="140">
        <v>2302.5</v>
      </c>
    </row>
    <row r="747" spans="1:12">
      <c r="A747" t="s">
        <v>2419</v>
      </c>
      <c r="B747" s="144"/>
      <c r="C747" s="144"/>
      <c r="D747" s="144"/>
      <c r="E747" s="144"/>
      <c r="F747" s="144"/>
      <c r="G747" s="153" t="s">
        <v>1861</v>
      </c>
      <c r="H747" s="153"/>
      <c r="I747" s="145"/>
      <c r="J747" s="132">
        <v>8854015.6283999998</v>
      </c>
      <c r="K747" s="133"/>
    </row>
    <row r="748" spans="1:12">
      <c r="B748" s="144"/>
      <c r="C748" s="144"/>
      <c r="D748" s="144"/>
      <c r="E748" s="144"/>
      <c r="F748" s="144"/>
      <c r="G748" s="153"/>
      <c r="H748" s="153"/>
      <c r="I748" s="145"/>
      <c r="J748" s="132"/>
      <c r="K748" s="133"/>
    </row>
    <row r="749" spans="1:12" ht="14.4" thickBot="1">
      <c r="B749" s="144"/>
      <c r="C749" s="144"/>
      <c r="D749" s="144"/>
      <c r="E749" s="144"/>
      <c r="F749" s="144"/>
      <c r="G749" s="153" t="s">
        <v>1975</v>
      </c>
      <c r="H749" s="153"/>
      <c r="I749" s="145"/>
      <c r="J749" s="164">
        <f ca="1">SUM(K744,K730,K714,K711,K673,K657,K561,K529,K519,K484,K434,K411,K350,K325,K304,K288,K281,K262,K215,K195,K123,K48,K26,K15)</f>
        <v>11016320.162</v>
      </c>
      <c r="K749" s="165"/>
      <c r="L749" s="125"/>
    </row>
    <row r="750" spans="1:12" ht="259.95" customHeight="1" thickBot="1">
      <c r="B750" s="148" t="s">
        <v>1874</v>
      </c>
      <c r="C750" s="149"/>
      <c r="D750" s="149"/>
      <c r="E750" s="149"/>
      <c r="F750" s="149"/>
      <c r="G750" s="149"/>
      <c r="H750" s="149"/>
      <c r="I750" s="149"/>
      <c r="J750" s="149"/>
      <c r="K750" s="36"/>
    </row>
    <row r="755" spans="4:10">
      <c r="D755" s="127" t="s">
        <v>1976</v>
      </c>
      <c r="E755" s="147" t="s">
        <v>1977</v>
      </c>
      <c r="F755" s="147"/>
      <c r="G755" s="147"/>
      <c r="H755" s="147"/>
      <c r="I755" s="147"/>
      <c r="J755" s="147"/>
    </row>
    <row r="756" spans="4:10">
      <c r="D756" s="127" t="s">
        <v>1978</v>
      </c>
      <c r="E756" s="147" t="s">
        <v>1979</v>
      </c>
      <c r="F756" s="147"/>
      <c r="G756" s="147"/>
      <c r="H756" s="147"/>
      <c r="I756" s="147"/>
      <c r="J756" s="147"/>
    </row>
    <row r="757" spans="4:10">
      <c r="D757" s="127" t="s">
        <v>1980</v>
      </c>
      <c r="E757" s="147" t="s">
        <v>1981</v>
      </c>
      <c r="F757" s="147"/>
      <c r="G757" s="147"/>
      <c r="H757" s="147"/>
      <c r="I757" s="147"/>
      <c r="J757" s="147"/>
    </row>
    <row r="758" spans="4:10">
      <c r="D758" s="127" t="s">
        <v>1982</v>
      </c>
      <c r="E758" s="147"/>
      <c r="F758" s="147"/>
      <c r="G758" s="147"/>
      <c r="H758" s="147"/>
      <c r="I758" s="147"/>
      <c r="J758" s="147"/>
    </row>
  </sheetData>
  <mergeCells count="112">
    <mergeCell ref="D1:K3"/>
    <mergeCell ref="J749:K749"/>
    <mergeCell ref="C97:H97"/>
    <mergeCell ref="C104:H104"/>
    <mergeCell ref="C13:H13"/>
    <mergeCell ref="C15:H15"/>
    <mergeCell ref="C26:H26"/>
    <mergeCell ref="C27:H27"/>
    <mergeCell ref="C73:H73"/>
    <mergeCell ref="C79:H79"/>
    <mergeCell ref="C86:H86"/>
    <mergeCell ref="C54:H54"/>
    <mergeCell ref="C65:H65"/>
    <mergeCell ref="C33:H33"/>
    <mergeCell ref="C38:H38"/>
    <mergeCell ref="C42:H42"/>
    <mergeCell ref="C48:H48"/>
    <mergeCell ref="C49:H49"/>
    <mergeCell ref="C113:H113"/>
    <mergeCell ref="C182:H182"/>
    <mergeCell ref="C184:H184"/>
    <mergeCell ref="C185:H185"/>
    <mergeCell ref="C190:H190"/>
    <mergeCell ref="C195:H195"/>
    <mergeCell ref="C117:H117"/>
    <mergeCell ref="C123:H123"/>
    <mergeCell ref="C225:H225"/>
    <mergeCell ref="C237:H237"/>
    <mergeCell ref="C216:H216"/>
    <mergeCell ref="C221:H221"/>
    <mergeCell ref="C196:H196"/>
    <mergeCell ref="C198:H198"/>
    <mergeCell ref="C204:H204"/>
    <mergeCell ref="C210:H210"/>
    <mergeCell ref="C215:H215"/>
    <mergeCell ref="C161:H161"/>
    <mergeCell ref="C163:H163"/>
    <mergeCell ref="C169:H169"/>
    <mergeCell ref="C174:H174"/>
    <mergeCell ref="C178:H178"/>
    <mergeCell ref="C154:H154"/>
    <mergeCell ref="C124:H124"/>
    <mergeCell ref="C133:H133"/>
    <mergeCell ref="C138:H138"/>
    <mergeCell ref="C143:H143"/>
    <mergeCell ref="C305:H305"/>
    <mergeCell ref="C288:H288"/>
    <mergeCell ref="C289:H289"/>
    <mergeCell ref="C301:H301"/>
    <mergeCell ref="C304:H304"/>
    <mergeCell ref="C277:H277"/>
    <mergeCell ref="C281:H281"/>
    <mergeCell ref="C254:H254"/>
    <mergeCell ref="C262:H262"/>
    <mergeCell ref="C263:H263"/>
    <mergeCell ref="C346:H346"/>
    <mergeCell ref="C348:H348"/>
    <mergeCell ref="C350:H350"/>
    <mergeCell ref="C351:H351"/>
    <mergeCell ref="C391:H391"/>
    <mergeCell ref="C314:H314"/>
    <mergeCell ref="C325:H325"/>
    <mergeCell ref="C326:H326"/>
    <mergeCell ref="C342:H342"/>
    <mergeCell ref="C345:H345"/>
    <mergeCell ref="C484:H484"/>
    <mergeCell ref="C519:H519"/>
    <mergeCell ref="C529:H529"/>
    <mergeCell ref="C435:H435"/>
    <mergeCell ref="C462:H462"/>
    <mergeCell ref="C466:H466"/>
    <mergeCell ref="C430:H430"/>
    <mergeCell ref="C434:H434"/>
    <mergeCell ref="C400:H400"/>
    <mergeCell ref="C404:H404"/>
    <mergeCell ref="C409:H409"/>
    <mergeCell ref="C411:H411"/>
    <mergeCell ref="C412:H412"/>
    <mergeCell ref="C617:H617"/>
    <mergeCell ref="C633:H633"/>
    <mergeCell ref="C639:H639"/>
    <mergeCell ref="C562:H562"/>
    <mergeCell ref="C541:H541"/>
    <mergeCell ref="C552:H552"/>
    <mergeCell ref="C557:H557"/>
    <mergeCell ref="C561:H561"/>
    <mergeCell ref="C530:H530"/>
    <mergeCell ref="C533:H533"/>
    <mergeCell ref="E755:J755"/>
    <mergeCell ref="E756:J756"/>
    <mergeCell ref="E757:J757"/>
    <mergeCell ref="E758:J758"/>
    <mergeCell ref="B750:J750"/>
    <mergeCell ref="G7:J7"/>
    <mergeCell ref="G749:H749"/>
    <mergeCell ref="C714:H714"/>
    <mergeCell ref="C730:H730"/>
    <mergeCell ref="C744:H744"/>
    <mergeCell ref="G747:H747"/>
    <mergeCell ref="G748:H748"/>
    <mergeCell ref="C680:H680"/>
    <mergeCell ref="C683:H683"/>
    <mergeCell ref="C696:H696"/>
    <mergeCell ref="C701:H701"/>
    <mergeCell ref="C711:H711"/>
    <mergeCell ref="C657:H657"/>
    <mergeCell ref="C658:H658"/>
    <mergeCell ref="C665:H665"/>
    <mergeCell ref="C673:H673"/>
    <mergeCell ref="C674:H674"/>
    <mergeCell ref="C569:H569"/>
    <mergeCell ref="C594:H594"/>
  </mergeCells>
  <phoneticPr fontId="8" type="noConversion"/>
  <pageMargins left="0.511811024" right="0.511811024" top="0.78740157499999996" bottom="0.78740157499999996" header="0.31496062000000002" footer="0.31496062000000002"/>
  <pageSetup paperSize="9" scale="4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D211-3832-4461-9775-DA29B46841A4}">
  <sheetPr>
    <pageSetUpPr fitToPage="1"/>
  </sheetPr>
  <dimension ref="A1:AF42"/>
  <sheetViews>
    <sheetView view="pageBreakPreview" zoomScale="50" zoomScaleSheetLayoutView="50" workbookViewId="0">
      <selection activeCell="U27" sqref="U27"/>
    </sheetView>
  </sheetViews>
  <sheetFormatPr defaultColWidth="10.3984375" defaultRowHeight="10.199999999999999"/>
  <cols>
    <col min="1" max="1" width="1.8984375" style="40" customWidth="1"/>
    <col min="2" max="2" width="4.8984375" style="40" customWidth="1"/>
    <col min="3" max="3" width="16.09765625" style="40" customWidth="1"/>
    <col min="4" max="4" width="8.5" style="40" customWidth="1"/>
    <col min="5" max="5" width="12.296875" style="40" customWidth="1"/>
    <col min="6" max="6" width="9" style="52" customWidth="1"/>
    <col min="7" max="7" width="12.09765625" style="40" customWidth="1"/>
    <col min="8" max="8" width="11.3984375" style="40" customWidth="1"/>
    <col min="9" max="9" width="12.19921875" style="40" customWidth="1"/>
    <col min="10" max="10" width="11.19921875" style="40" customWidth="1"/>
    <col min="11" max="11" width="11.09765625" style="40" customWidth="1"/>
    <col min="12" max="12" width="12.19921875" style="40" customWidth="1"/>
    <col min="13" max="13" width="11.19921875" style="40" customWidth="1"/>
    <col min="14" max="14" width="11.3984375" style="40" customWidth="1"/>
    <col min="15" max="15" width="12.5" style="40" customWidth="1"/>
    <col min="16" max="16" width="12.59765625" style="40" customWidth="1"/>
    <col min="17" max="17" width="11.19921875" style="40" customWidth="1"/>
    <col min="18" max="18" width="12" style="40" customWidth="1"/>
    <col min="19" max="19" width="12.5" style="40" customWidth="1"/>
    <col min="20" max="20" width="13.19921875" style="40" customWidth="1"/>
    <col min="21" max="21" width="12.796875" style="40" customWidth="1"/>
    <col min="22" max="22" width="12.09765625" style="40" customWidth="1"/>
    <col min="23" max="23" width="13.296875" style="40" customWidth="1"/>
    <col min="24" max="24" width="12.69921875" style="40" customWidth="1"/>
    <col min="25" max="25" width="15.8984375" style="40" customWidth="1"/>
    <col min="26" max="26" width="11.69921875" style="40" customWidth="1"/>
    <col min="27" max="27" width="10.3984375" style="40"/>
    <col min="28" max="28" width="11.5" style="40" customWidth="1"/>
    <col min="29" max="16384" width="10.3984375" style="40"/>
  </cols>
  <sheetData>
    <row r="1" spans="2:30" ht="20.100000000000001" customHeight="1">
      <c r="B1" s="37"/>
      <c r="C1" s="38"/>
      <c r="D1" s="38"/>
      <c r="E1" s="38"/>
      <c r="F1" s="38"/>
      <c r="G1" s="39"/>
      <c r="H1" s="39"/>
      <c r="I1" s="39"/>
      <c r="J1" s="39"/>
      <c r="K1" s="38"/>
      <c r="L1" s="38"/>
      <c r="M1" s="38"/>
      <c r="O1" s="38"/>
      <c r="Q1" s="38"/>
      <c r="S1" s="38"/>
    </row>
    <row r="2" spans="2:30" ht="25.8" customHeight="1">
      <c r="B2" s="38"/>
      <c r="C2" s="38"/>
      <c r="D2" s="199" t="s">
        <v>2466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</row>
    <row r="3" spans="2:30" s="41" customFormat="1" ht="27" customHeight="1">
      <c r="B3" s="41" t="s">
        <v>1875</v>
      </c>
      <c r="D3" s="42"/>
      <c r="E3" s="42"/>
      <c r="F3" s="43"/>
      <c r="G3" s="44"/>
    </row>
    <row r="4" spans="2:30" s="41" customFormat="1" ht="13.95" customHeight="1">
      <c r="B4" s="45"/>
      <c r="D4" s="42"/>
      <c r="E4" s="42"/>
      <c r="F4" s="45"/>
      <c r="G4" s="168"/>
      <c r="H4" s="168"/>
      <c r="I4" s="168"/>
      <c r="J4" s="168"/>
    </row>
    <row r="5" spans="2:30" s="41" customFormat="1" ht="15.6" customHeight="1">
      <c r="B5" s="45" t="s">
        <v>1876</v>
      </c>
      <c r="C5" s="45"/>
      <c r="F5" s="43"/>
      <c r="G5" s="46"/>
    </row>
    <row r="6" spans="2:30" s="41" customFormat="1" ht="21.75" customHeight="1">
      <c r="C6" s="47" t="s">
        <v>1877</v>
      </c>
      <c r="D6" s="169" t="s">
        <v>1878</v>
      </c>
      <c r="E6" s="170"/>
      <c r="F6" s="170"/>
      <c r="G6" s="170"/>
      <c r="H6" s="170"/>
      <c r="I6" s="170"/>
      <c r="J6" s="170"/>
      <c r="K6" s="171"/>
      <c r="L6" s="172" t="s">
        <v>1879</v>
      </c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4"/>
    </row>
    <row r="7" spans="2:30" s="41" customFormat="1" ht="30" customHeight="1">
      <c r="C7" s="48" t="s">
        <v>1880</v>
      </c>
      <c r="D7" s="49" t="s">
        <v>1881</v>
      </c>
      <c r="E7" s="50"/>
      <c r="F7" s="51"/>
      <c r="G7" s="48" t="s">
        <v>1882</v>
      </c>
      <c r="H7" s="50"/>
      <c r="I7" s="50"/>
      <c r="J7" s="175" t="s">
        <v>1883</v>
      </c>
      <c r="K7" s="176"/>
      <c r="L7" s="177" t="s">
        <v>2465</v>
      </c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</row>
    <row r="8" spans="2:30">
      <c r="B8" s="52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</row>
    <row r="9" spans="2:30" ht="12.75" customHeight="1">
      <c r="B9" s="178" t="s">
        <v>1</v>
      </c>
      <c r="C9" s="181" t="s">
        <v>1884</v>
      </c>
      <c r="D9" s="182"/>
      <c r="E9" s="187" t="s">
        <v>1885</v>
      </c>
      <c r="F9" s="178" t="s">
        <v>1886</v>
      </c>
      <c r="G9" s="190" t="s">
        <v>1887</v>
      </c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</row>
    <row r="10" spans="2:30">
      <c r="B10" s="179"/>
      <c r="C10" s="183"/>
      <c r="D10" s="184"/>
      <c r="E10" s="188"/>
      <c r="F10" s="179"/>
      <c r="G10" s="54" t="s">
        <v>1888</v>
      </c>
      <c r="H10" s="55"/>
      <c r="I10" s="56" t="s">
        <v>1889</v>
      </c>
      <c r="J10" s="57"/>
      <c r="K10" s="58" t="s">
        <v>1890</v>
      </c>
      <c r="L10" s="59"/>
      <c r="M10" s="191" t="s">
        <v>1891</v>
      </c>
      <c r="N10" s="192"/>
      <c r="O10" s="191" t="s">
        <v>1892</v>
      </c>
      <c r="P10" s="192"/>
      <c r="Q10" s="191" t="s">
        <v>1893</v>
      </c>
      <c r="R10" s="192"/>
      <c r="S10" s="191" t="s">
        <v>1894</v>
      </c>
      <c r="T10" s="192"/>
      <c r="U10" s="191" t="s">
        <v>1895</v>
      </c>
      <c r="V10" s="192"/>
      <c r="W10" s="191" t="s">
        <v>1896</v>
      </c>
      <c r="X10" s="192"/>
      <c r="Y10" s="191" t="s">
        <v>1897</v>
      </c>
      <c r="Z10" s="192"/>
      <c r="AA10" s="191" t="s">
        <v>1898</v>
      </c>
      <c r="AB10" s="192"/>
      <c r="AC10" s="191" t="s">
        <v>1899</v>
      </c>
      <c r="AD10" s="192"/>
    </row>
    <row r="11" spans="2:30" ht="12" customHeight="1">
      <c r="B11" s="180"/>
      <c r="C11" s="185"/>
      <c r="D11" s="186"/>
      <c r="E11" s="189"/>
      <c r="F11" s="60" t="s">
        <v>1900</v>
      </c>
      <c r="G11" s="61" t="s">
        <v>1901</v>
      </c>
      <c r="H11" s="61" t="s">
        <v>1902</v>
      </c>
      <c r="I11" s="61" t="s">
        <v>1901</v>
      </c>
      <c r="J11" s="62" t="s">
        <v>1902</v>
      </c>
      <c r="K11" s="59" t="s">
        <v>1901</v>
      </c>
      <c r="L11" s="59" t="s">
        <v>1902</v>
      </c>
      <c r="M11" s="59" t="s">
        <v>1901</v>
      </c>
      <c r="N11" s="53" t="s">
        <v>1902</v>
      </c>
      <c r="O11" s="59" t="s">
        <v>1901</v>
      </c>
      <c r="P11" s="53" t="s">
        <v>1902</v>
      </c>
      <c r="Q11" s="59" t="s">
        <v>1901</v>
      </c>
      <c r="R11" s="53" t="s">
        <v>1902</v>
      </c>
      <c r="S11" s="59" t="s">
        <v>1901</v>
      </c>
      <c r="T11" s="53" t="s">
        <v>1902</v>
      </c>
      <c r="U11" s="59" t="s">
        <v>1901</v>
      </c>
      <c r="V11" s="53" t="s">
        <v>1902</v>
      </c>
      <c r="W11" s="59" t="s">
        <v>1901</v>
      </c>
      <c r="X11" s="53" t="s">
        <v>1902</v>
      </c>
      <c r="Y11" s="59" t="s">
        <v>1901</v>
      </c>
      <c r="Z11" s="53" t="s">
        <v>1902</v>
      </c>
      <c r="AA11" s="59" t="s">
        <v>1901</v>
      </c>
      <c r="AB11" s="53" t="s">
        <v>1902</v>
      </c>
      <c r="AC11" s="59" t="s">
        <v>1901</v>
      </c>
      <c r="AD11" s="59" t="s">
        <v>1902</v>
      </c>
    </row>
    <row r="12" spans="2:30" ht="27" customHeight="1">
      <c r="B12" s="63">
        <v>1</v>
      </c>
      <c r="C12" s="193" t="s">
        <v>10</v>
      </c>
      <c r="D12" s="193"/>
      <c r="E12" s="64">
        <f ca="1">'planilha orçamentaria'!K15</f>
        <v>944010.47000000009</v>
      </c>
      <c r="F12" s="65">
        <f ca="1">E12/E37</f>
        <v>8.5691996612107912E-2</v>
      </c>
      <c r="G12" s="65">
        <v>0.15</v>
      </c>
      <c r="H12" s="66">
        <f>SUM(G12)</f>
        <v>0.15</v>
      </c>
      <c r="I12" s="67">
        <v>8.5000000000000006E-2</v>
      </c>
      <c r="J12" s="66">
        <f>SUM(H12:I12)</f>
        <v>0.23499999999999999</v>
      </c>
      <c r="K12" s="67">
        <v>8.5000000000000006E-2</v>
      </c>
      <c r="L12" s="66">
        <f>SUM(J12:K12)</f>
        <v>0.32</v>
      </c>
      <c r="M12" s="67">
        <v>8.5000000000000006E-2</v>
      </c>
      <c r="N12" s="66">
        <f>SUM(L12:M12)</f>
        <v>0.40500000000000003</v>
      </c>
      <c r="O12" s="67">
        <v>8.5000000000000006E-2</v>
      </c>
      <c r="P12" s="66">
        <f>SUM(N12:O12)</f>
        <v>0.49000000000000005</v>
      </c>
      <c r="Q12" s="67">
        <v>8.5000000000000006E-2</v>
      </c>
      <c r="R12" s="66">
        <f>SUM(P12:Q12)</f>
        <v>0.57500000000000007</v>
      </c>
      <c r="S12" s="67">
        <v>8.5000000000000006E-2</v>
      </c>
      <c r="T12" s="66">
        <f>SUM(R12:S12)</f>
        <v>0.66</v>
      </c>
      <c r="U12" s="67">
        <v>8.5000000000000006E-2</v>
      </c>
      <c r="V12" s="66">
        <f>SUM(T12:U12)</f>
        <v>0.745</v>
      </c>
      <c r="W12" s="67">
        <v>8.5000000000000006E-2</v>
      </c>
      <c r="X12" s="66">
        <f>SUM(V12:W12)</f>
        <v>0.83</v>
      </c>
      <c r="Y12" s="67">
        <v>8.5000000000000006E-2</v>
      </c>
      <c r="Z12" s="66">
        <f>SUM(X12:Y12)</f>
        <v>0.91499999999999992</v>
      </c>
      <c r="AA12" s="67">
        <v>8.5000000000000006E-2</v>
      </c>
      <c r="AB12" s="66">
        <f>SUM(Z12:AA12)</f>
        <v>0.99999999999999989</v>
      </c>
      <c r="AC12" s="67"/>
      <c r="AD12" s="66"/>
    </row>
    <row r="13" spans="2:30" ht="28.5" customHeight="1">
      <c r="B13" s="63">
        <v>2</v>
      </c>
      <c r="C13" s="194" t="s">
        <v>48</v>
      </c>
      <c r="D13" s="194"/>
      <c r="E13" s="64">
        <f ca="1">'planilha orçamentaria'!K26</f>
        <v>99530.45749999999</v>
      </c>
      <c r="F13" s="65">
        <f ca="1">E$13/E$37</f>
        <v>9.0348188901883137E-3</v>
      </c>
      <c r="G13" s="65">
        <v>1</v>
      </c>
      <c r="H13" s="66">
        <f>SUM(G13)</f>
        <v>1</v>
      </c>
      <c r="I13" s="65"/>
      <c r="J13" s="66"/>
      <c r="K13" s="65"/>
      <c r="L13" s="66"/>
      <c r="M13" s="65"/>
      <c r="N13" s="66"/>
      <c r="O13" s="65"/>
      <c r="P13" s="66"/>
      <c r="Q13" s="65"/>
      <c r="R13" s="66"/>
      <c r="S13" s="65"/>
      <c r="T13" s="66"/>
      <c r="U13" s="65"/>
      <c r="V13" s="66"/>
      <c r="W13" s="65"/>
      <c r="X13" s="66"/>
      <c r="Y13" s="65"/>
      <c r="Z13" s="66"/>
      <c r="AA13" s="65"/>
      <c r="AB13" s="66"/>
      <c r="AC13" s="65"/>
      <c r="AD13" s="66"/>
    </row>
    <row r="14" spans="2:30" ht="28.5" customHeight="1">
      <c r="B14" s="63">
        <v>3</v>
      </c>
      <c r="C14" s="195" t="s">
        <v>86</v>
      </c>
      <c r="D14" s="196"/>
      <c r="E14" s="64">
        <f ca="1">'planilha orçamentaria'!K48</f>
        <v>1209260.9455000001</v>
      </c>
      <c r="F14" s="65">
        <f ca="1">E14/E$37</f>
        <v>0.10976995291687856</v>
      </c>
      <c r="G14" s="65">
        <v>0.2</v>
      </c>
      <c r="H14" s="66">
        <f>SUM(G14)</f>
        <v>0.2</v>
      </c>
      <c r="I14" s="65">
        <v>0.6</v>
      </c>
      <c r="J14" s="66">
        <f>SUM(H14:I14)</f>
        <v>0.8</v>
      </c>
      <c r="K14" s="65">
        <v>0.2</v>
      </c>
      <c r="L14" s="66">
        <f>SUM(J14:K14)</f>
        <v>1</v>
      </c>
      <c r="M14" s="65"/>
      <c r="N14" s="66"/>
      <c r="O14" s="65"/>
      <c r="P14" s="66"/>
      <c r="Q14" s="65"/>
      <c r="R14" s="66"/>
      <c r="S14" s="65"/>
      <c r="T14" s="66"/>
      <c r="U14" s="65"/>
      <c r="V14" s="66"/>
      <c r="W14" s="65"/>
      <c r="X14" s="66"/>
      <c r="Y14" s="65"/>
      <c r="Z14" s="66"/>
      <c r="AA14" s="65"/>
      <c r="AB14" s="66"/>
      <c r="AC14" s="65"/>
      <c r="AD14" s="66"/>
    </row>
    <row r="15" spans="2:30" ht="28.5" customHeight="1">
      <c r="B15" s="63">
        <v>4</v>
      </c>
      <c r="C15" s="195" t="s">
        <v>215</v>
      </c>
      <c r="D15" s="196"/>
      <c r="E15" s="64">
        <f ca="1">'planilha orçamentaria'!K123</f>
        <v>2760221.5504999999</v>
      </c>
      <c r="F15" s="65">
        <f ca="1">E15/E$37</f>
        <v>0.25055749196734356</v>
      </c>
      <c r="G15" s="65"/>
      <c r="H15" s="66"/>
      <c r="I15" s="65"/>
      <c r="J15" s="66"/>
      <c r="K15" s="65">
        <v>0.3</v>
      </c>
      <c r="L15" s="66">
        <f>SUM(J15:K15)</f>
        <v>0.3</v>
      </c>
      <c r="M15" s="65">
        <v>0.4</v>
      </c>
      <c r="N15" s="66">
        <f>SUM(L15:M15)</f>
        <v>0.7</v>
      </c>
      <c r="O15" s="65">
        <v>0.3</v>
      </c>
      <c r="P15" s="66">
        <f>SUM(N15:O15)</f>
        <v>1</v>
      </c>
      <c r="Q15" s="65"/>
      <c r="R15" s="66"/>
      <c r="S15" s="65"/>
      <c r="T15" s="66"/>
      <c r="U15" s="65"/>
      <c r="V15" s="66"/>
      <c r="W15" s="65"/>
      <c r="X15" s="66"/>
      <c r="Y15" s="65"/>
      <c r="Z15" s="66"/>
      <c r="AA15" s="65"/>
      <c r="AB15" s="66"/>
      <c r="AC15" s="65"/>
      <c r="AD15" s="66"/>
    </row>
    <row r="16" spans="2:30" ht="28.5" customHeight="1">
      <c r="B16" s="63">
        <v>5</v>
      </c>
      <c r="C16" s="195" t="s">
        <v>356</v>
      </c>
      <c r="D16" s="196"/>
      <c r="E16" s="64">
        <f>'planilha orçamentaria'!K195</f>
        <v>449687.94</v>
      </c>
      <c r="F16" s="65">
        <f t="shared" ref="F16:F35" ca="1" si="0">E16/E$37</f>
        <v>4.0820158944832236E-2</v>
      </c>
      <c r="G16" s="65"/>
      <c r="H16" s="66"/>
      <c r="I16" s="65"/>
      <c r="J16" s="66"/>
      <c r="K16" s="65"/>
      <c r="L16" s="66"/>
      <c r="M16" s="65">
        <v>0.6</v>
      </c>
      <c r="N16" s="66">
        <f>SUM(L16:M16)</f>
        <v>0.6</v>
      </c>
      <c r="O16" s="65">
        <v>0.4</v>
      </c>
      <c r="P16" s="66">
        <f>SUM(N16:O16)</f>
        <v>1</v>
      </c>
      <c r="Q16" s="65"/>
      <c r="R16" s="66"/>
      <c r="S16" s="65"/>
      <c r="T16" s="66"/>
      <c r="U16" s="65"/>
      <c r="V16" s="66"/>
      <c r="W16" s="65"/>
      <c r="X16" s="66"/>
      <c r="Y16" s="65"/>
      <c r="Z16" s="66"/>
      <c r="AA16" s="65"/>
      <c r="AB16" s="66"/>
      <c r="AC16" s="65"/>
      <c r="AD16" s="66"/>
    </row>
    <row r="17" spans="2:30" ht="28.5" customHeight="1">
      <c r="B17" s="63">
        <v>6</v>
      </c>
      <c r="C17" s="195" t="s">
        <v>403</v>
      </c>
      <c r="D17" s="196"/>
      <c r="E17" s="64">
        <f ca="1">'planilha orçamentaria'!K215</f>
        <v>723726.0774999999</v>
      </c>
      <c r="F17" s="65">
        <f t="shared" ca="1" si="0"/>
        <v>6.5695810112385858E-2</v>
      </c>
      <c r="G17" s="65"/>
      <c r="H17" s="66"/>
      <c r="I17" s="65"/>
      <c r="J17" s="66"/>
      <c r="K17" s="65"/>
      <c r="L17" s="66"/>
      <c r="M17" s="65"/>
      <c r="N17" s="66"/>
      <c r="O17" s="65"/>
      <c r="P17" s="66"/>
      <c r="Q17" s="65">
        <v>0.6</v>
      </c>
      <c r="R17" s="66">
        <f>SUM(P17:Q17)</f>
        <v>0.6</v>
      </c>
      <c r="S17" s="65">
        <v>0.2</v>
      </c>
      <c r="T17" s="66">
        <f>SUM(R17:S17)</f>
        <v>0.8</v>
      </c>
      <c r="U17" s="65">
        <v>0.2</v>
      </c>
      <c r="V17" s="66">
        <f>SUM(T17:U17)</f>
        <v>1</v>
      </c>
      <c r="W17" s="65"/>
      <c r="X17" s="66"/>
      <c r="Y17" s="65"/>
      <c r="Z17" s="66"/>
      <c r="AA17" s="65"/>
      <c r="AB17" s="66"/>
      <c r="AC17" s="65"/>
      <c r="AD17" s="66"/>
    </row>
    <row r="18" spans="2:30" ht="28.5" customHeight="1">
      <c r="B18" s="63">
        <v>7</v>
      </c>
      <c r="C18" s="195" t="s">
        <v>539</v>
      </c>
      <c r="D18" s="196"/>
      <c r="E18" s="64">
        <f ca="1">'planilha orçamentaria'!K262</f>
        <v>793027.95599999989</v>
      </c>
      <c r="F18" s="65">
        <f t="shared" ca="1" si="0"/>
        <v>7.1986647477393806E-2</v>
      </c>
      <c r="G18" s="65"/>
      <c r="H18" s="66"/>
      <c r="I18" s="65"/>
      <c r="J18" s="66"/>
      <c r="K18" s="65"/>
      <c r="L18" s="66"/>
      <c r="M18" s="65"/>
      <c r="N18" s="66"/>
      <c r="O18" s="65"/>
      <c r="P18" s="66"/>
      <c r="Q18" s="65">
        <v>0.6</v>
      </c>
      <c r="R18" s="66">
        <f>SUM(P18:Q18)</f>
        <v>0.6</v>
      </c>
      <c r="S18" s="65">
        <v>0.2</v>
      </c>
      <c r="T18" s="66">
        <f>SUM(R18:S18)</f>
        <v>0.8</v>
      </c>
      <c r="U18" s="65">
        <v>0.2</v>
      </c>
      <c r="V18" s="66">
        <f>SUM(T18:U18)</f>
        <v>1</v>
      </c>
      <c r="W18" s="65"/>
      <c r="X18" s="66"/>
      <c r="Y18" s="65"/>
      <c r="Z18" s="66"/>
      <c r="AA18" s="65"/>
      <c r="AB18" s="66"/>
      <c r="AC18" s="65"/>
      <c r="AD18" s="66"/>
    </row>
    <row r="19" spans="2:30" ht="28.5" customHeight="1">
      <c r="B19" s="63">
        <v>8</v>
      </c>
      <c r="C19" s="195" t="s">
        <v>590</v>
      </c>
      <c r="D19" s="196"/>
      <c r="E19" s="64">
        <f>'planilha orçamentaria'!K281</f>
        <v>134732.06</v>
      </c>
      <c r="F19" s="65">
        <f t="shared" ca="1" si="0"/>
        <v>1.2230223706165376E-2</v>
      </c>
      <c r="G19" s="65"/>
      <c r="H19" s="66"/>
      <c r="I19" s="65"/>
      <c r="J19" s="66"/>
      <c r="K19" s="65"/>
      <c r="L19" s="66"/>
      <c r="M19" s="65"/>
      <c r="N19" s="66"/>
      <c r="O19" s="65">
        <v>1</v>
      </c>
      <c r="P19" s="66">
        <f>SUM(N19:O19)</f>
        <v>1</v>
      </c>
      <c r="Q19" s="65"/>
      <c r="R19" s="66"/>
      <c r="S19" s="65"/>
      <c r="T19" s="66"/>
      <c r="U19" s="65"/>
      <c r="V19" s="66"/>
      <c r="W19" s="65"/>
      <c r="X19" s="66"/>
      <c r="Y19" s="65"/>
      <c r="Z19" s="66"/>
      <c r="AA19" s="65"/>
      <c r="AB19" s="66"/>
      <c r="AC19" s="65"/>
      <c r="AD19" s="66"/>
    </row>
    <row r="20" spans="2:30" ht="28.5" customHeight="1">
      <c r="B20" s="63">
        <v>9</v>
      </c>
      <c r="C20" s="197" t="s">
        <v>610</v>
      </c>
      <c r="D20" s="198"/>
      <c r="E20" s="64">
        <f>'planilha orçamentaria'!K288</f>
        <v>679131.22000000009</v>
      </c>
      <c r="F20" s="65">
        <f t="shared" ca="1" si="0"/>
        <v>6.164773808432094E-2</v>
      </c>
      <c r="G20" s="65"/>
      <c r="H20" s="66"/>
      <c r="I20" s="65"/>
      <c r="J20" s="66"/>
      <c r="K20" s="65"/>
      <c r="L20" s="66"/>
      <c r="M20" s="65"/>
      <c r="N20" s="66"/>
      <c r="O20" s="65"/>
      <c r="P20" s="66"/>
      <c r="Q20" s="65"/>
      <c r="R20" s="66"/>
      <c r="S20" s="65"/>
      <c r="T20" s="66"/>
      <c r="U20" s="65"/>
      <c r="V20" s="66"/>
      <c r="W20" s="65">
        <v>0.7</v>
      </c>
      <c r="X20" s="66">
        <f>SUM(V20:W20)</f>
        <v>0.7</v>
      </c>
      <c r="Y20" s="65">
        <v>0.3</v>
      </c>
      <c r="Z20" s="66">
        <f>SUM(X20:Y20)</f>
        <v>1</v>
      </c>
      <c r="AA20" s="65"/>
      <c r="AB20" s="66"/>
      <c r="AC20" s="65"/>
      <c r="AD20" s="66"/>
    </row>
    <row r="21" spans="2:30" ht="28.5" customHeight="1">
      <c r="B21" s="63">
        <v>10</v>
      </c>
      <c r="C21" s="195" t="s">
        <v>654</v>
      </c>
      <c r="D21" s="196"/>
      <c r="E21" s="64">
        <f ca="1">'planilha orçamentaria'!K304</f>
        <v>667618.77</v>
      </c>
      <c r="F21" s="65">
        <f t="shared" ca="1" si="0"/>
        <v>6.0602702189330213E-2</v>
      </c>
      <c r="G21" s="65"/>
      <c r="H21" s="66"/>
      <c r="I21" s="65"/>
      <c r="J21" s="66"/>
      <c r="K21" s="65"/>
      <c r="L21" s="66"/>
      <c r="M21" s="65"/>
      <c r="N21" s="66"/>
      <c r="O21" s="65"/>
      <c r="P21" s="66"/>
      <c r="Q21" s="65">
        <v>0.5</v>
      </c>
      <c r="R21" s="66">
        <f>SUM(P21:Q21)</f>
        <v>0.5</v>
      </c>
      <c r="S21" s="65">
        <v>0.5</v>
      </c>
      <c r="T21" s="66">
        <f>SUM(R21:S21)</f>
        <v>1</v>
      </c>
      <c r="U21" s="65"/>
      <c r="V21" s="66"/>
      <c r="W21" s="65"/>
      <c r="X21" s="66"/>
      <c r="Y21" s="65"/>
      <c r="Z21" s="66"/>
      <c r="AA21" s="65"/>
      <c r="AB21" s="66"/>
      <c r="AC21" s="65"/>
      <c r="AD21" s="66"/>
    </row>
    <row r="22" spans="2:30" ht="28.5" customHeight="1">
      <c r="B22" s="63">
        <v>11</v>
      </c>
      <c r="C22" s="195" t="s">
        <v>712</v>
      </c>
      <c r="D22" s="196"/>
      <c r="E22" s="64">
        <f ca="1">'planilha orçamentaria'!K325</f>
        <v>342278.68499999994</v>
      </c>
      <c r="F22" s="65">
        <f t="shared" ca="1" si="0"/>
        <v>3.1070146833664613E-2</v>
      </c>
      <c r="G22" s="65"/>
      <c r="H22" s="66"/>
      <c r="I22" s="65"/>
      <c r="J22" s="66"/>
      <c r="K22" s="65"/>
      <c r="L22" s="66"/>
      <c r="M22" s="65"/>
      <c r="N22" s="66"/>
      <c r="O22" s="65"/>
      <c r="P22" s="66"/>
      <c r="Q22" s="65"/>
      <c r="R22" s="66"/>
      <c r="S22" s="65"/>
      <c r="T22" s="66"/>
      <c r="U22" s="65"/>
      <c r="V22" s="66"/>
      <c r="W22" s="65"/>
      <c r="X22" s="66"/>
      <c r="Y22" s="65">
        <v>0.8</v>
      </c>
      <c r="Z22" s="66">
        <f>SUM(X22:Y22)</f>
        <v>0.8</v>
      </c>
      <c r="AA22" s="65">
        <v>0.2</v>
      </c>
      <c r="AB22" s="66">
        <f>SUM(Z22:AA22)</f>
        <v>1</v>
      </c>
      <c r="AC22" s="65"/>
      <c r="AD22" s="66"/>
    </row>
    <row r="23" spans="2:30" ht="28.5" customHeight="1">
      <c r="B23" s="63">
        <v>12</v>
      </c>
      <c r="C23" s="195" t="s">
        <v>773</v>
      </c>
      <c r="D23" s="196"/>
      <c r="E23" s="64">
        <f ca="1">'planilha orçamentaria'!K350</f>
        <v>256168.965</v>
      </c>
      <c r="F23" s="65">
        <f t="shared" ca="1" si="0"/>
        <v>2.3253587516785898E-2</v>
      </c>
      <c r="G23" s="65"/>
      <c r="H23" s="66"/>
      <c r="I23" s="65"/>
      <c r="J23" s="66"/>
      <c r="K23" s="65"/>
      <c r="L23" s="66"/>
      <c r="M23" s="65"/>
      <c r="N23" s="66"/>
      <c r="O23" s="65"/>
      <c r="P23" s="66"/>
      <c r="Q23" s="65">
        <v>0.3</v>
      </c>
      <c r="R23" s="66">
        <f>SUM(P23:Q23)</f>
        <v>0.3</v>
      </c>
      <c r="S23" s="65">
        <v>0.6</v>
      </c>
      <c r="T23" s="66">
        <f>SUM(R23:S23)</f>
        <v>0.89999999999999991</v>
      </c>
      <c r="U23" s="65">
        <v>0.1</v>
      </c>
      <c r="V23" s="66">
        <f>SUM(T23:U23)</f>
        <v>0.99999999999999989</v>
      </c>
      <c r="W23" s="65"/>
      <c r="X23" s="66"/>
      <c r="Y23" s="65"/>
      <c r="Z23" s="66"/>
      <c r="AA23" s="65"/>
      <c r="AB23" s="66"/>
      <c r="AC23" s="65"/>
      <c r="AD23" s="66"/>
    </row>
    <row r="24" spans="2:30" ht="28.5" customHeight="1">
      <c r="B24" s="63">
        <v>13</v>
      </c>
      <c r="C24" s="195" t="s">
        <v>948</v>
      </c>
      <c r="D24" s="196"/>
      <c r="E24" s="64">
        <f ca="1">'planilha orçamentaria'!K411</f>
        <v>172766.84499999997</v>
      </c>
      <c r="F24" s="65">
        <f t="shared" ca="1" si="0"/>
        <v>1.5682809001498224E-2</v>
      </c>
      <c r="G24" s="65"/>
      <c r="H24" s="66"/>
      <c r="I24" s="65"/>
      <c r="J24" s="66"/>
      <c r="K24" s="65"/>
      <c r="L24" s="66"/>
      <c r="M24" s="65"/>
      <c r="N24" s="66"/>
      <c r="O24" s="65"/>
      <c r="P24" s="66"/>
      <c r="Q24" s="65"/>
      <c r="R24" s="66"/>
      <c r="S24" s="65"/>
      <c r="T24" s="66"/>
      <c r="U24" s="65"/>
      <c r="V24" s="66"/>
      <c r="W24" s="65">
        <v>0.5</v>
      </c>
      <c r="X24" s="66">
        <f>SUM(V24:W24)</f>
        <v>0.5</v>
      </c>
      <c r="Y24" s="65">
        <v>0.5</v>
      </c>
      <c r="Z24" s="66">
        <f>SUM(X24:Y24)</f>
        <v>1</v>
      </c>
      <c r="AA24" s="65"/>
      <c r="AB24" s="66"/>
      <c r="AC24" s="65"/>
      <c r="AD24" s="66"/>
    </row>
    <row r="25" spans="2:30" ht="28.5" customHeight="1">
      <c r="B25" s="63">
        <v>14</v>
      </c>
      <c r="C25" s="195" t="s">
        <v>1014</v>
      </c>
      <c r="D25" s="196"/>
      <c r="E25" s="64">
        <f ca="1">'planilha orçamentaria'!K434</f>
        <v>119582.31000000001</v>
      </c>
      <c r="F25" s="65">
        <f t="shared" ca="1" si="0"/>
        <v>1.0855014037490535E-2</v>
      </c>
      <c r="G25" s="65"/>
      <c r="H25" s="66"/>
      <c r="I25" s="65"/>
      <c r="J25" s="66"/>
      <c r="K25" s="65"/>
      <c r="L25" s="66"/>
      <c r="M25" s="65"/>
      <c r="N25" s="66"/>
      <c r="O25" s="65"/>
      <c r="P25" s="66"/>
      <c r="Q25" s="65"/>
      <c r="R25" s="66"/>
      <c r="S25" s="65">
        <v>1</v>
      </c>
      <c r="T25" s="66">
        <f>SUM(R25:S25)</f>
        <v>1</v>
      </c>
      <c r="U25" s="65"/>
      <c r="V25" s="66"/>
      <c r="W25" s="65"/>
      <c r="X25" s="66"/>
      <c r="Y25" s="65"/>
      <c r="Z25" s="66"/>
      <c r="AA25" s="65"/>
      <c r="AB25" s="66"/>
      <c r="AC25" s="65"/>
      <c r="AD25" s="66"/>
    </row>
    <row r="26" spans="2:30" ht="28.5" customHeight="1">
      <c r="B26" s="63">
        <v>15</v>
      </c>
      <c r="C26" s="195" t="s">
        <v>1146</v>
      </c>
      <c r="D26" s="196"/>
      <c r="E26" s="64">
        <f ca="1">'planilha orçamentaria'!K484</f>
        <v>96155.862499999988</v>
      </c>
      <c r="F26" s="65">
        <f t="shared" ca="1" si="0"/>
        <v>8.728492008763751E-3</v>
      </c>
      <c r="G26" s="65"/>
      <c r="H26" s="66"/>
      <c r="I26" s="65"/>
      <c r="J26" s="66"/>
      <c r="K26" s="65"/>
      <c r="L26" s="66"/>
      <c r="M26" s="65"/>
      <c r="N26" s="66"/>
      <c r="O26" s="65"/>
      <c r="P26" s="66"/>
      <c r="Q26" s="65"/>
      <c r="R26" s="66"/>
      <c r="S26" s="65"/>
      <c r="T26" s="66"/>
      <c r="U26" s="65">
        <v>1</v>
      </c>
      <c r="V26" s="66">
        <f>SUM(T26:U26)</f>
        <v>1</v>
      </c>
      <c r="W26" s="65"/>
      <c r="X26" s="66"/>
      <c r="Y26" s="65"/>
      <c r="Z26" s="66"/>
      <c r="AA26" s="65"/>
      <c r="AB26" s="66"/>
      <c r="AC26" s="65"/>
      <c r="AD26" s="66"/>
    </row>
    <row r="27" spans="2:30" ht="28.5" customHeight="1">
      <c r="B27" s="63">
        <v>16</v>
      </c>
      <c r="C27" s="197" t="s">
        <v>1250</v>
      </c>
      <c r="D27" s="198"/>
      <c r="E27" s="64">
        <f ca="1">'planilha orçamentaria'!K519</f>
        <v>4130.47</v>
      </c>
      <c r="F27" s="65">
        <f t="shared" ca="1" si="0"/>
        <v>3.7494099111677582E-4</v>
      </c>
      <c r="G27" s="65"/>
      <c r="H27" s="66"/>
      <c r="I27" s="65"/>
      <c r="J27" s="66"/>
      <c r="K27" s="65"/>
      <c r="L27" s="66"/>
      <c r="M27" s="65"/>
      <c r="N27" s="66"/>
      <c r="O27" s="65"/>
      <c r="P27" s="66"/>
      <c r="Q27" s="65"/>
      <c r="R27" s="66"/>
      <c r="S27" s="65"/>
      <c r="T27" s="66"/>
      <c r="U27" s="65"/>
      <c r="V27" s="66"/>
      <c r="W27" s="65"/>
      <c r="X27" s="66"/>
      <c r="Y27" s="65"/>
      <c r="Z27" s="66"/>
      <c r="AA27" s="65">
        <v>1</v>
      </c>
      <c r="AB27" s="66"/>
      <c r="AC27" s="65"/>
      <c r="AD27" s="66"/>
    </row>
    <row r="28" spans="2:30" ht="28.5" customHeight="1">
      <c r="B28" s="63">
        <v>17</v>
      </c>
      <c r="C28" s="197" t="s">
        <v>1279</v>
      </c>
      <c r="D28" s="198"/>
      <c r="E28" s="64">
        <f ca="1">'planilha orçamentaria'!K529</f>
        <v>163077.64000000001</v>
      </c>
      <c r="F28" s="65">
        <f t="shared" ca="1" si="0"/>
        <v>1.4803277101778917E-2</v>
      </c>
      <c r="G28" s="65"/>
      <c r="H28" s="66"/>
      <c r="I28" s="65"/>
      <c r="J28" s="66"/>
      <c r="K28" s="65"/>
      <c r="L28" s="66"/>
      <c r="M28" s="65"/>
      <c r="N28" s="66"/>
      <c r="O28" s="65"/>
      <c r="P28" s="66"/>
      <c r="Q28" s="65"/>
      <c r="R28" s="66"/>
      <c r="S28" s="65"/>
      <c r="T28" s="66"/>
      <c r="U28" s="65"/>
      <c r="V28" s="66"/>
      <c r="W28" s="65"/>
      <c r="X28" s="66"/>
      <c r="Y28" s="65"/>
      <c r="Z28" s="66"/>
      <c r="AA28" s="65">
        <v>1</v>
      </c>
      <c r="AB28" s="66"/>
      <c r="AC28" s="65"/>
      <c r="AD28" s="66"/>
    </row>
    <row r="29" spans="2:30" ht="28.5" customHeight="1">
      <c r="B29" s="63">
        <v>18</v>
      </c>
      <c r="C29" s="195" t="s">
        <v>1363</v>
      </c>
      <c r="D29" s="196"/>
      <c r="E29" s="64">
        <f ca="1">'planilha orçamentaria'!K561</f>
        <v>741662.7</v>
      </c>
      <c r="F29" s="65">
        <f t="shared" ca="1" si="0"/>
        <v>6.7323996497334185E-2</v>
      </c>
      <c r="G29" s="65"/>
      <c r="H29" s="66"/>
      <c r="I29" s="65"/>
      <c r="J29" s="66"/>
      <c r="K29" s="65"/>
      <c r="L29" s="66"/>
      <c r="M29" s="65"/>
      <c r="N29" s="66"/>
      <c r="O29" s="65"/>
      <c r="P29" s="66"/>
      <c r="Q29" s="65"/>
      <c r="R29" s="66"/>
      <c r="S29" s="65">
        <v>0.7</v>
      </c>
      <c r="T29" s="66">
        <f>SUM(R29:S29)</f>
        <v>0.7</v>
      </c>
      <c r="U29" s="65">
        <v>0.3</v>
      </c>
      <c r="V29" s="66">
        <f>SUM(T29:U29)</f>
        <v>1</v>
      </c>
      <c r="W29" s="65"/>
      <c r="X29" s="66"/>
      <c r="Y29" s="65"/>
      <c r="Z29" s="66"/>
      <c r="AA29" s="65"/>
      <c r="AB29" s="66"/>
      <c r="AC29" s="65"/>
      <c r="AD29" s="66"/>
    </row>
    <row r="30" spans="2:30" ht="28.5" customHeight="1">
      <c r="B30" s="63">
        <v>19</v>
      </c>
      <c r="C30" s="195" t="s">
        <v>1634</v>
      </c>
      <c r="D30" s="196"/>
      <c r="E30" s="64">
        <f ca="1">'planilha orçamentaria'!K657</f>
        <v>70398.77</v>
      </c>
      <c r="F30" s="65">
        <f t="shared" ca="1" si="0"/>
        <v>6.390407047430908E-3</v>
      </c>
      <c r="G30" s="65"/>
      <c r="H30" s="66"/>
      <c r="I30" s="65"/>
      <c r="J30" s="66"/>
      <c r="K30" s="65"/>
      <c r="L30" s="66"/>
      <c r="M30" s="65"/>
      <c r="N30" s="66"/>
      <c r="O30" s="65"/>
      <c r="P30" s="66"/>
      <c r="Q30" s="65"/>
      <c r="R30" s="66"/>
      <c r="S30" s="65"/>
      <c r="T30" s="66"/>
      <c r="U30" s="65">
        <v>1</v>
      </c>
      <c r="V30" s="66">
        <f>SUM(T30:U30)</f>
        <v>1</v>
      </c>
      <c r="W30" s="65"/>
      <c r="X30" s="66"/>
      <c r="Y30" s="65"/>
      <c r="Z30" s="66"/>
      <c r="AA30" s="65"/>
      <c r="AB30" s="66"/>
      <c r="AC30" s="65"/>
      <c r="AD30" s="66"/>
    </row>
    <row r="31" spans="2:30" ht="28.5" customHeight="1">
      <c r="B31" s="63">
        <v>20</v>
      </c>
      <c r="C31" s="197" t="s">
        <v>1679</v>
      </c>
      <c r="D31" s="198"/>
      <c r="E31" s="64">
        <f ca="1">'planilha orçamentaria'!K673</f>
        <v>209407.7</v>
      </c>
      <c r="F31" s="65">
        <f t="shared" ca="1" si="0"/>
        <v>1.9008861118827748E-2</v>
      </c>
      <c r="G31" s="65"/>
      <c r="H31" s="66"/>
      <c r="I31" s="65"/>
      <c r="J31" s="66"/>
      <c r="K31" s="65"/>
      <c r="L31" s="66"/>
      <c r="M31" s="65"/>
      <c r="N31" s="66"/>
      <c r="O31" s="65"/>
      <c r="P31" s="66"/>
      <c r="Q31" s="65"/>
      <c r="R31" s="66"/>
      <c r="S31" s="65"/>
      <c r="T31" s="66"/>
      <c r="U31" s="65"/>
      <c r="V31" s="66"/>
      <c r="W31" s="65">
        <v>1</v>
      </c>
      <c r="X31" s="66">
        <f>SUM(V31:W31)</f>
        <v>1</v>
      </c>
      <c r="Y31" s="65"/>
      <c r="Z31" s="66"/>
      <c r="AA31" s="65"/>
      <c r="AB31" s="66"/>
      <c r="AC31" s="65"/>
      <c r="AD31" s="66"/>
    </row>
    <row r="32" spans="2:30" ht="28.5" customHeight="1">
      <c r="B32" s="63">
        <v>21</v>
      </c>
      <c r="C32" s="195" t="s">
        <v>1759</v>
      </c>
      <c r="D32" s="196"/>
      <c r="E32" s="64">
        <f ca="1">'planilha orçamentaria'!K711</f>
        <v>12143.43</v>
      </c>
      <c r="F32" s="65">
        <f t="shared" ca="1" si="0"/>
        <v>1.1023127343273739E-3</v>
      </c>
      <c r="G32" s="65"/>
      <c r="H32" s="66"/>
      <c r="I32" s="65"/>
      <c r="J32" s="66"/>
      <c r="K32" s="65"/>
      <c r="L32" s="66"/>
      <c r="M32" s="65"/>
      <c r="N32" s="66"/>
      <c r="O32" s="65"/>
      <c r="P32" s="66"/>
      <c r="Q32" s="65"/>
      <c r="R32" s="66"/>
      <c r="S32" s="65"/>
      <c r="T32" s="66"/>
      <c r="U32" s="65"/>
      <c r="V32" s="66"/>
      <c r="W32" s="65">
        <v>1</v>
      </c>
      <c r="X32" s="66">
        <f>SUM(V32:W32)</f>
        <v>1</v>
      </c>
      <c r="Y32" s="65"/>
      <c r="Z32" s="66"/>
      <c r="AA32" s="65"/>
      <c r="AB32" s="66"/>
      <c r="AC32" s="65"/>
      <c r="AD32" s="66"/>
    </row>
    <row r="33" spans="1:32" ht="31.8" customHeight="1">
      <c r="B33" s="63">
        <v>22</v>
      </c>
      <c r="C33" s="197" t="s">
        <v>1767</v>
      </c>
      <c r="D33" s="198"/>
      <c r="E33" s="64">
        <f ca="1">'planilha orçamentaria'!K714</f>
        <v>59023.537499999991</v>
      </c>
      <c r="F33" s="65">
        <f t="shared" ca="1" si="0"/>
        <v>5.3578269905042719E-3</v>
      </c>
      <c r="G33" s="65"/>
      <c r="H33" s="66"/>
      <c r="I33" s="65"/>
      <c r="J33" s="66"/>
      <c r="K33" s="65"/>
      <c r="L33" s="66"/>
      <c r="M33" s="65"/>
      <c r="N33" s="66"/>
      <c r="O33" s="65"/>
      <c r="P33" s="66"/>
      <c r="Q33" s="65"/>
      <c r="R33" s="66"/>
      <c r="S33" s="65"/>
      <c r="T33" s="66"/>
      <c r="U33" s="65"/>
      <c r="V33" s="66"/>
      <c r="W33" s="65"/>
      <c r="X33" s="66"/>
      <c r="Y33" s="65">
        <v>1</v>
      </c>
      <c r="Z33" s="66">
        <f>SUM(X33:Y33)</f>
        <v>1</v>
      </c>
      <c r="AA33" s="65"/>
      <c r="AB33" s="66"/>
      <c r="AC33" s="65"/>
      <c r="AD33" s="66"/>
    </row>
    <row r="34" spans="1:32" ht="28.5" customHeight="1">
      <c r="B34" s="63">
        <v>23</v>
      </c>
      <c r="C34" s="195" t="s">
        <v>1814</v>
      </c>
      <c r="D34" s="196"/>
      <c r="E34" s="64">
        <f>'planilha orçamentaria'!K730</f>
        <v>296362.17000000004</v>
      </c>
      <c r="F34" s="65">
        <f t="shared" ca="1" si="0"/>
        <v>2.6902102121385316E-2</v>
      </c>
      <c r="G34" s="65"/>
      <c r="H34" s="66"/>
      <c r="I34" s="65"/>
      <c r="J34" s="66"/>
      <c r="K34" s="65"/>
      <c r="L34" s="66"/>
      <c r="M34" s="65"/>
      <c r="N34" s="66"/>
      <c r="O34" s="65"/>
      <c r="P34" s="66"/>
      <c r="Q34" s="65"/>
      <c r="R34" s="66"/>
      <c r="S34" s="65"/>
      <c r="T34" s="66"/>
      <c r="U34" s="65"/>
      <c r="V34" s="66"/>
      <c r="W34" s="65"/>
      <c r="X34" s="66"/>
      <c r="Y34" s="65">
        <v>0.8</v>
      </c>
      <c r="Z34" s="66">
        <f>SUM(X34:Y34)</f>
        <v>0.8</v>
      </c>
      <c r="AA34" s="65">
        <v>0.2</v>
      </c>
      <c r="AB34" s="66">
        <f>SUM(Z34:AA34)</f>
        <v>1</v>
      </c>
      <c r="AC34" s="65"/>
      <c r="AD34" s="66"/>
    </row>
    <row r="35" spans="1:32" ht="24" customHeight="1">
      <c r="B35" s="63">
        <v>24</v>
      </c>
      <c r="C35" s="193" t="s">
        <v>1856</v>
      </c>
      <c r="D35" s="193"/>
      <c r="E35" s="64">
        <f>'planilha orçamentaria'!K744</f>
        <v>12213.63</v>
      </c>
      <c r="F35" s="65">
        <f t="shared" ca="1" si="0"/>
        <v>1.1086850981446628E-3</v>
      </c>
      <c r="G35" s="65"/>
      <c r="H35" s="66"/>
      <c r="I35" s="65"/>
      <c r="J35" s="66"/>
      <c r="K35" s="65"/>
      <c r="L35" s="66"/>
      <c r="M35" s="65"/>
      <c r="N35" s="66"/>
      <c r="O35" s="65"/>
      <c r="P35" s="66"/>
      <c r="Q35" s="65"/>
      <c r="R35" s="66"/>
      <c r="S35" s="65"/>
      <c r="T35" s="66"/>
      <c r="U35" s="65"/>
      <c r="V35" s="66"/>
      <c r="W35" s="65"/>
      <c r="X35" s="66"/>
      <c r="Y35" s="65"/>
      <c r="Z35" s="66"/>
      <c r="AA35" s="65">
        <v>1</v>
      </c>
      <c r="AB35" s="66">
        <f>SUM(Z35:AA35)</f>
        <v>1</v>
      </c>
      <c r="AC35" s="65"/>
      <c r="AD35" s="66"/>
    </row>
    <row r="36" spans="1:32" ht="24.75" customHeight="1" thickBot="1">
      <c r="B36" s="200" t="s">
        <v>1903</v>
      </c>
      <c r="C36" s="200"/>
      <c r="D36" s="200"/>
      <c r="E36" s="64"/>
      <c r="F36" s="68">
        <f ca="1">SUM(F12:F35)</f>
        <v>0.99999999999999978</v>
      </c>
      <c r="G36" s="65">
        <f ca="1">G37/E37</f>
        <v>4.3842608965380211E-2</v>
      </c>
      <c r="H36" s="66">
        <f ca="1">H37/E37</f>
        <v>4.3842608965380211E-2</v>
      </c>
      <c r="I36" s="65">
        <f ca="1">I37/E37</f>
        <v>7.3145791462156315E-2</v>
      </c>
      <c r="J36" s="66">
        <f ca="1">J37/E37</f>
        <v>0.11698840042753651</v>
      </c>
      <c r="K36" s="65">
        <f ca="1">K37/E37</f>
        <v>0.10440505788560794</v>
      </c>
      <c r="L36" s="66">
        <f ca="1">L37/E37</f>
        <v>0.22139345831314444</v>
      </c>
      <c r="M36" s="65">
        <f ca="1">M37/E37</f>
        <v>0.13199891186586593</v>
      </c>
      <c r="N36" s="66">
        <f t="shared" ref="N36:AB36" ca="1" si="1">N37/$E$37</f>
        <v>0.35339237017901037</v>
      </c>
      <c r="O36" s="65">
        <f t="shared" ca="1" si="1"/>
        <v>0.11100935458633049</v>
      </c>
      <c r="P36" s="66">
        <f t="shared" ca="1" si="1"/>
        <v>0.46440172476534086</v>
      </c>
      <c r="Q36" s="65">
        <f t="shared" ca="1" si="1"/>
        <v>0.12717072161559784</v>
      </c>
      <c r="R36" s="66">
        <f t="shared" ca="1" si="1"/>
        <v>0.59157244638093864</v>
      </c>
      <c r="S36" s="65">
        <f t="shared" ca="1" si="1"/>
        <v>0.13705562642034622</v>
      </c>
      <c r="T36" s="66">
        <f t="shared" ca="1" si="1"/>
        <v>0.72862807280128483</v>
      </c>
      <c r="U36" s="65">
        <f t="shared" ca="1" si="1"/>
        <v>7.2461767987058612E-2</v>
      </c>
      <c r="V36" s="66">
        <f t="shared" ca="1" si="1"/>
        <v>0.80108984078834344</v>
      </c>
      <c r="W36" s="65">
        <f t="shared" ca="1" si="1"/>
        <v>7.8389814724958068E-2</v>
      </c>
      <c r="X36" s="66">
        <f t="shared" ca="1" si="1"/>
        <v>0.87947965551330154</v>
      </c>
      <c r="Y36" s="65">
        <f t="shared" ca="1" si="1"/>
        <v>8.5355171792618784E-2</v>
      </c>
      <c r="Z36" s="66">
        <f t="shared" ca="1" si="1"/>
        <v>0.9648348273059203</v>
      </c>
      <c r="AA36" s="65">
        <f t="shared" ca="1" si="1"/>
        <v>3.5165172694079511E-2</v>
      </c>
      <c r="AB36" s="66">
        <f t="shared" ca="1" si="1"/>
        <v>0.99999999999999978</v>
      </c>
      <c r="AC36" s="65"/>
      <c r="AD36" s="66"/>
    </row>
    <row r="37" spans="1:32" s="73" customFormat="1" ht="23.25" customHeight="1" thickBot="1">
      <c r="A37" s="69"/>
      <c r="B37" s="200" t="s">
        <v>1904</v>
      </c>
      <c r="C37" s="200"/>
      <c r="D37" s="200"/>
      <c r="E37" s="64">
        <f ca="1">SUM(E12:E35)</f>
        <v>11016320.162</v>
      </c>
      <c r="F37" s="70"/>
      <c r="G37" s="71">
        <f ca="1">G13*E13+G12*E12+G14*E14</f>
        <v>482984.21710000001</v>
      </c>
      <c r="H37" s="72">
        <f ca="1">G37</f>
        <v>482984.21710000001</v>
      </c>
      <c r="I37" s="71">
        <f ca="1">I12*E12+I14*E14+I15*E15+I19*E19</f>
        <v>805797.45725000009</v>
      </c>
      <c r="J37" s="72">
        <f ca="1">I37+H37</f>
        <v>1288781.67435</v>
      </c>
      <c r="K37" s="71">
        <f ca="1">K12*E12+K15*E15+K14*E14</f>
        <v>1150159.5441999999</v>
      </c>
      <c r="L37" s="72">
        <f ca="1">K37+J37</f>
        <v>2438941.2185499999</v>
      </c>
      <c r="M37" s="71">
        <f ca="1">M12*E12+M16*E16+M15*E15</f>
        <v>1454142.27415</v>
      </c>
      <c r="N37" s="72">
        <f ca="1">M37+L37</f>
        <v>3893083.4926999998</v>
      </c>
      <c r="O37" s="71">
        <f ca="1">O12*E12+O19*E19+O16*E16+O15*E15</f>
        <v>1222914.5910999998</v>
      </c>
      <c r="P37" s="72">
        <f ca="1">O37+N37</f>
        <v>5115998.0837999992</v>
      </c>
      <c r="Q37" s="71">
        <f ca="1">Q12*E12+Q17*E17+Q18*E18+Q23*E23+Q21*E21</f>
        <v>1400953.3845499998</v>
      </c>
      <c r="R37" s="72">
        <f ca="1">Q37+P37</f>
        <v>6516951.4683499988</v>
      </c>
      <c r="S37" s="71">
        <f ca="1">S12*E12+S23*E23+S25*E25+S29*E29+S18*E18+S17*E17+S21*E21</f>
        <v>1509848.66065</v>
      </c>
      <c r="T37" s="72">
        <f ca="1">S37+R37</f>
        <v>8026800.1289999988</v>
      </c>
      <c r="U37" s="71">
        <f ca="1">U12*E12+U30*E30+U26*E26+U23*E23+U29*E29+U18*E18+U17*E17</f>
        <v>798262.03564999998</v>
      </c>
      <c r="V37" s="72">
        <f ca="1">U37+T37</f>
        <v>8825062.1646499988</v>
      </c>
      <c r="W37" s="71">
        <f ca="1">W12*E12+W20*E20+W24*E24+W31*E31+W32*E32</f>
        <v>863567.29645000014</v>
      </c>
      <c r="X37" s="72">
        <f ca="1">W37+V37</f>
        <v>9688629.461099999</v>
      </c>
      <c r="Y37" s="71">
        <f ca="1">Y33*E33+Y34*E34+Y22*E22+Y12*E12+Y24*E24+Y20*E20</f>
        <v>940299.89994999999</v>
      </c>
      <c r="Z37" s="72">
        <f ca="1">Y37+X37</f>
        <v>10628929.361049999</v>
      </c>
      <c r="AA37" s="71">
        <f ca="1">AA35*E35+AA34*E34+AA22*E22+AA12*E12+AA28*E28+AA27*E27</f>
        <v>387390.80095</v>
      </c>
      <c r="AB37" s="72">
        <f ca="1">AA37+Z37</f>
        <v>11016320.161999999</v>
      </c>
      <c r="AC37" s="71"/>
      <c r="AD37" s="72"/>
      <c r="AE37" s="126"/>
      <c r="AF37" s="40"/>
    </row>
    <row r="38" spans="1:32" ht="24.75" customHeight="1">
      <c r="B38" s="200" t="s">
        <v>1905</v>
      </c>
      <c r="C38" s="200"/>
      <c r="D38" s="200"/>
      <c r="E38" s="74"/>
      <c r="F38" s="68"/>
      <c r="G38" s="71">
        <f ca="1">G37*F38</f>
        <v>0</v>
      </c>
      <c r="H38" s="72">
        <f ca="1">G38</f>
        <v>0</v>
      </c>
      <c r="I38" s="71">
        <f ca="1">I37*F38</f>
        <v>0</v>
      </c>
      <c r="J38" s="72">
        <f ca="1">I38+H38</f>
        <v>0</v>
      </c>
      <c r="K38" s="71">
        <f ca="1">I38</f>
        <v>0</v>
      </c>
      <c r="L38" s="72">
        <f ca="1">K38+J38</f>
        <v>0</v>
      </c>
      <c r="M38" s="71">
        <f ca="1">K38</f>
        <v>0</v>
      </c>
      <c r="N38" s="72">
        <f ca="1">M38+L38</f>
        <v>0</v>
      </c>
      <c r="O38" s="71"/>
      <c r="P38" s="72"/>
      <c r="Q38" s="71"/>
      <c r="R38" s="72"/>
      <c r="S38" s="71"/>
      <c r="T38" s="72"/>
      <c r="U38" s="71"/>
      <c r="V38" s="72"/>
      <c r="W38" s="71"/>
      <c r="X38" s="72"/>
      <c r="Y38" s="71"/>
      <c r="Z38" s="72"/>
      <c r="AA38" s="71"/>
      <c r="AB38" s="72"/>
      <c r="AC38" s="71"/>
      <c r="AD38" s="72"/>
      <c r="AE38" s="126"/>
    </row>
    <row r="39" spans="1:32" ht="23.25" customHeight="1">
      <c r="B39" s="200" t="s">
        <v>1906</v>
      </c>
      <c r="C39" s="200"/>
      <c r="D39" s="200"/>
      <c r="E39" s="74"/>
      <c r="F39" s="68"/>
      <c r="G39" s="71">
        <f ca="1">G37*F39</f>
        <v>0</v>
      </c>
      <c r="H39" s="72">
        <f ca="1">G39</f>
        <v>0</v>
      </c>
      <c r="I39" s="71">
        <f ca="1">I37*F39</f>
        <v>0</v>
      </c>
      <c r="J39" s="72">
        <f ca="1">I39+H39</f>
        <v>0</v>
      </c>
      <c r="K39" s="71">
        <f ca="1">I39</f>
        <v>0</v>
      </c>
      <c r="L39" s="72">
        <f ca="1">K39+J39</f>
        <v>0</v>
      </c>
      <c r="M39" s="71">
        <f ca="1">K39</f>
        <v>0</v>
      </c>
      <c r="N39" s="72">
        <f ca="1">M39+L39</f>
        <v>0</v>
      </c>
      <c r="O39" s="71"/>
      <c r="P39" s="72"/>
      <c r="Q39" s="71"/>
      <c r="R39" s="72"/>
      <c r="S39" s="71"/>
      <c r="T39" s="72"/>
      <c r="U39" s="71"/>
      <c r="V39" s="72"/>
      <c r="W39" s="71"/>
      <c r="X39" s="72"/>
      <c r="Y39" s="71"/>
      <c r="Z39" s="72"/>
      <c r="AA39" s="71"/>
      <c r="AB39" s="72"/>
      <c r="AC39" s="71"/>
      <c r="AD39" s="72"/>
    </row>
    <row r="40" spans="1:32" ht="11.25" customHeight="1">
      <c r="F40" s="40"/>
    </row>
    <row r="41" spans="1:32" ht="57" customHeight="1">
      <c r="G41" s="41" t="s">
        <v>1907</v>
      </c>
    </row>
    <row r="42" spans="1:32" ht="16.5" customHeight="1">
      <c r="C42" s="75"/>
      <c r="G42" s="201" t="s">
        <v>1908</v>
      </c>
      <c r="H42" s="201"/>
      <c r="I42" s="201"/>
      <c r="J42" s="201"/>
      <c r="K42" s="201"/>
      <c r="L42" s="201"/>
    </row>
  </sheetData>
  <mergeCells count="50">
    <mergeCell ref="D2:AB2"/>
    <mergeCell ref="B38:D38"/>
    <mergeCell ref="B39:D39"/>
    <mergeCell ref="G42:L42"/>
    <mergeCell ref="C32:D32"/>
    <mergeCell ref="C33:D33"/>
    <mergeCell ref="C34:D34"/>
    <mergeCell ref="C35:D35"/>
    <mergeCell ref="B36:D36"/>
    <mergeCell ref="B37:D37"/>
    <mergeCell ref="C31:D31"/>
    <mergeCell ref="C20:D20"/>
    <mergeCell ref="C21:D21"/>
    <mergeCell ref="C22:D22"/>
    <mergeCell ref="C23:D23"/>
    <mergeCell ref="C24:D24"/>
    <mergeCell ref="C12:D12"/>
    <mergeCell ref="C13:D13"/>
    <mergeCell ref="C14:D14"/>
    <mergeCell ref="C15:D15"/>
    <mergeCell ref="C30:D30"/>
    <mergeCell ref="C19:D19"/>
    <mergeCell ref="C16:D16"/>
    <mergeCell ref="C17:D17"/>
    <mergeCell ref="C18:D18"/>
    <mergeCell ref="C25:D25"/>
    <mergeCell ref="C26:D26"/>
    <mergeCell ref="C27:D27"/>
    <mergeCell ref="C28:D28"/>
    <mergeCell ref="C29:D29"/>
    <mergeCell ref="B9:B11"/>
    <mergeCell ref="C9:D11"/>
    <mergeCell ref="E9:E11"/>
    <mergeCell ref="F9:F10"/>
    <mergeCell ref="G9:AD9"/>
    <mergeCell ref="M10:N10"/>
    <mergeCell ref="O10:P10"/>
    <mergeCell ref="Q10:R10"/>
    <mergeCell ref="S10:T10"/>
    <mergeCell ref="U10:V10"/>
    <mergeCell ref="AC10:AD10"/>
    <mergeCell ref="W10:X10"/>
    <mergeCell ref="Y10:Z10"/>
    <mergeCell ref="AA10:AB10"/>
    <mergeCell ref="L8:AD8"/>
    <mergeCell ref="G4:J4"/>
    <mergeCell ref="D6:K6"/>
    <mergeCell ref="L6:AD6"/>
    <mergeCell ref="J7:K7"/>
    <mergeCell ref="L7:AD7"/>
  </mergeCells>
  <printOptions horizontalCentered="1"/>
  <pageMargins left="0.19685039370078741" right="0.19685039370078741" top="0.6692913385826772" bottom="0.39370078740157483" header="0.55118110236220474" footer="0.51181102362204722"/>
  <pageSetup paperSize="9" scale="37" fitToHeight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F9A4-4DFF-4F6F-8FA3-0BFD6AC49201}">
  <sheetPr>
    <pageSetUpPr fitToPage="1"/>
  </sheetPr>
  <dimension ref="A1:Z146"/>
  <sheetViews>
    <sheetView showGridLines="0" topLeftCell="H1" zoomScale="90" zoomScaleNormal="90" zoomScaleSheetLayoutView="100" workbookViewId="0">
      <pane ySplit="11" topLeftCell="A21" activePane="bottomLeft" state="frozen"/>
      <selection activeCell="E1" sqref="E1"/>
      <selection pane="bottomLeft" activeCell="AD1" sqref="AD1:AD1048576"/>
    </sheetView>
  </sheetViews>
  <sheetFormatPr defaultRowHeight="13.8"/>
  <cols>
    <col min="1" max="4" width="5.09765625" style="76" hidden="1" customWidth="1"/>
    <col min="5" max="5" width="10.19921875" style="76" hidden="1" customWidth="1"/>
    <col min="6" max="6" width="10.296875" style="76" hidden="1" customWidth="1"/>
    <col min="7" max="7" width="10.69921875" style="76" hidden="1" customWidth="1"/>
    <col min="8" max="8" width="9.59765625" style="78" customWidth="1"/>
    <col min="9" max="9" width="3.296875" style="78" customWidth="1"/>
    <col min="10" max="15" width="9.59765625" style="76" customWidth="1"/>
    <col min="16" max="16" width="11.59765625" style="76" customWidth="1"/>
    <col min="17" max="19" width="9.59765625" style="76" customWidth="1"/>
    <col min="20" max="16384" width="8.796875" style="78"/>
  </cols>
  <sheetData>
    <row r="1" spans="1:19" ht="15.6">
      <c r="E1" s="77" t="s">
        <v>1909</v>
      </c>
      <c r="F1" s="77" t="s">
        <v>1910</v>
      </c>
      <c r="G1" s="77" t="s">
        <v>1911</v>
      </c>
      <c r="O1" s="79" t="str">
        <f>"Quadro de Composição do BDI"</f>
        <v>Quadro de Composição do BDI</v>
      </c>
      <c r="R1" s="208" t="s">
        <v>1912</v>
      </c>
      <c r="S1" s="208"/>
    </row>
    <row r="2" spans="1:19">
      <c r="A2" s="76" t="s">
        <v>1913</v>
      </c>
      <c r="B2" s="80" t="s">
        <v>1914</v>
      </c>
      <c r="C2" s="76" t="str">
        <f t="shared" ref="C2:C49" si="0">CONCATENATE(A2,"-",B2)</f>
        <v>Construção e Reforma de Edifícios-AC</v>
      </c>
      <c r="E2" s="81">
        <v>0.03</v>
      </c>
      <c r="F2" s="81">
        <v>0.04</v>
      </c>
      <c r="G2" s="81">
        <v>5.5E-2</v>
      </c>
      <c r="R2" s="209" t="s">
        <v>1915</v>
      </c>
      <c r="S2" s="209"/>
    </row>
    <row r="3" spans="1:19">
      <c r="A3" s="76" t="str">
        <f>A2</f>
        <v>Construção e Reforma de Edifícios</v>
      </c>
      <c r="B3" s="80" t="s">
        <v>1916</v>
      </c>
      <c r="C3" s="76" t="str">
        <f t="shared" si="0"/>
        <v>Construção e Reforma de Edifícios-SG</v>
      </c>
      <c r="E3" s="81">
        <v>8.0000000000000002E-3</v>
      </c>
      <c r="F3" s="81">
        <v>8.0000000000000002E-3</v>
      </c>
      <c r="G3" s="81">
        <v>0.01</v>
      </c>
    </row>
    <row r="4" spans="1:19">
      <c r="A4" s="76" t="str">
        <f>A3</f>
        <v>Construção e Reforma de Edifícios</v>
      </c>
      <c r="B4" s="80" t="s">
        <v>1917</v>
      </c>
      <c r="C4" s="76" t="str">
        <f t="shared" si="0"/>
        <v>Construção e Reforma de Edifícios-R</v>
      </c>
      <c r="E4" s="81">
        <v>9.7000000000000003E-3</v>
      </c>
      <c r="F4" s="81">
        <v>1.2699999999999999E-2</v>
      </c>
      <c r="G4" s="81">
        <v>1.2699999999999999E-2</v>
      </c>
      <c r="J4" s="203" t="s">
        <v>1918</v>
      </c>
      <c r="K4" s="203"/>
      <c r="L4" s="203" t="s">
        <v>1919</v>
      </c>
      <c r="M4" s="203"/>
      <c r="N4" s="203" t="s">
        <v>1920</v>
      </c>
      <c r="O4" s="203"/>
      <c r="P4" s="203"/>
      <c r="Q4" s="203"/>
      <c r="R4" s="203"/>
      <c r="S4" s="203"/>
    </row>
    <row r="5" spans="1:19" ht="12.75" customHeight="1">
      <c r="A5" s="76" t="str">
        <f>A4</f>
        <v>Construção e Reforma de Edifícios</v>
      </c>
      <c r="B5" s="80" t="s">
        <v>1921</v>
      </c>
      <c r="C5" s="76" t="str">
        <f t="shared" si="0"/>
        <v>Construção e Reforma de Edifícios-DF</v>
      </c>
      <c r="E5" s="81">
        <v>5.8999999999999999E-3</v>
      </c>
      <c r="F5" s="81">
        <v>1.23E-2</v>
      </c>
      <c r="G5" s="81">
        <v>1.3899999999999999E-2</v>
      </c>
      <c r="J5" s="210">
        <f>Import.CR</f>
        <v>0</v>
      </c>
      <c r="K5" s="210"/>
      <c r="L5" s="210" t="str">
        <f>Import.TransfereGOV</f>
        <v>961912 /2024</v>
      </c>
      <c r="M5" s="210"/>
      <c r="N5" s="210" t="str">
        <f>Import.Proponente</f>
        <v>Prefeitura De São João Das Missões - MG</v>
      </c>
      <c r="O5" s="210"/>
      <c r="P5" s="210"/>
      <c r="Q5" s="210"/>
      <c r="R5" s="210"/>
      <c r="S5" s="210"/>
    </row>
    <row r="6" spans="1:19">
      <c r="A6" s="76" t="str">
        <f>A5</f>
        <v>Construção e Reforma de Edifícios</v>
      </c>
      <c r="B6" s="80" t="s">
        <v>1922</v>
      </c>
      <c r="C6" s="76" t="str">
        <f t="shared" si="0"/>
        <v>Construção e Reforma de Edifícios-L</v>
      </c>
      <c r="E6" s="81">
        <v>6.1600000000000002E-2</v>
      </c>
      <c r="F6" s="81">
        <v>7.400000000000001E-2</v>
      </c>
      <c r="G6" s="81">
        <v>8.9600000000000013E-2</v>
      </c>
      <c r="I6" s="202" t="s">
        <v>1923</v>
      </c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26.4">
      <c r="A7" s="76" t="str">
        <f>A6</f>
        <v>Construção e Reforma de Edifícios</v>
      </c>
      <c r="B7" s="83" t="s">
        <v>1924</v>
      </c>
      <c r="C7" s="76" t="str">
        <f t="shared" si="0"/>
        <v>Construção e Reforma de Edifícios-BDI PAD</v>
      </c>
      <c r="E7" s="81">
        <v>0.2034</v>
      </c>
      <c r="F7" s="81">
        <v>0.22120000000000001</v>
      </c>
      <c r="G7" s="81">
        <v>0.25</v>
      </c>
      <c r="I7" s="202"/>
      <c r="J7" s="203" t="s">
        <v>1925</v>
      </c>
      <c r="K7" s="203"/>
      <c r="L7" s="203"/>
      <c r="M7" s="203"/>
      <c r="N7" s="203"/>
      <c r="O7" s="203"/>
      <c r="P7" s="203"/>
      <c r="Q7" s="203"/>
      <c r="R7" s="203"/>
      <c r="S7" s="203"/>
    </row>
    <row r="8" spans="1:19">
      <c r="A8" s="76" t="s">
        <v>1926</v>
      </c>
      <c r="B8" s="80" t="s">
        <v>1914</v>
      </c>
      <c r="C8" s="76" t="str">
        <f t="shared" si="0"/>
        <v>Construção de Praças Urbanas, Rodovias, Ferrovias e recapeamento e pavimentação de vias urbanas-AC</v>
      </c>
      <c r="E8" s="81">
        <v>3.7999999999999999E-2</v>
      </c>
      <c r="F8" s="81">
        <v>4.0099999999999997E-2</v>
      </c>
      <c r="G8" s="81">
        <v>4.6699999999999998E-2</v>
      </c>
      <c r="I8" s="202"/>
      <c r="J8" s="204" t="str">
        <f>Import.Apelido&amp;" / "&amp;Import.DescLote</f>
        <v>Escola com 13 salas - opção 110V / Construção de uma Escola com 13 salas - opção 110V</v>
      </c>
      <c r="K8" s="204"/>
      <c r="L8" s="204"/>
      <c r="M8" s="204"/>
      <c r="N8" s="204"/>
      <c r="O8" s="204"/>
      <c r="P8" s="204"/>
      <c r="Q8" s="204"/>
      <c r="R8" s="204"/>
      <c r="S8" s="204"/>
    </row>
    <row r="9" spans="1:19">
      <c r="A9" s="76" t="s">
        <v>1926</v>
      </c>
      <c r="B9" s="80" t="s">
        <v>1916</v>
      </c>
      <c r="C9" s="76" t="str">
        <f t="shared" si="0"/>
        <v>Construção de Praças Urbanas, Rodovias, Ferrovias e recapeamento e pavimentação de vias urbanas-SG</v>
      </c>
      <c r="E9" s="81">
        <v>3.2000000000000002E-3</v>
      </c>
      <c r="F9" s="81">
        <v>4.0000000000000001E-3</v>
      </c>
      <c r="G9" s="81">
        <v>7.4000000000000003E-3</v>
      </c>
      <c r="I9" s="20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ht="12.75" customHeight="1">
      <c r="A10" s="76" t="s">
        <v>1926</v>
      </c>
      <c r="B10" s="80" t="s">
        <v>1917</v>
      </c>
      <c r="C10" s="76" t="str">
        <f t="shared" si="0"/>
        <v>Construção de Praças Urbanas, Rodovias, Ferrovias e recapeamento e pavimentação de vias urbanas-R</v>
      </c>
      <c r="E10" s="81">
        <v>5.0000000000000001E-3</v>
      </c>
      <c r="F10" s="81">
        <v>5.6000000000000008E-3</v>
      </c>
      <c r="G10" s="81">
        <v>9.7000000000000003E-3</v>
      </c>
      <c r="I10" s="202"/>
      <c r="J10" s="205" t="s">
        <v>1927</v>
      </c>
      <c r="K10" s="205"/>
      <c r="L10" s="205"/>
      <c r="M10" s="205"/>
      <c r="N10" s="205"/>
      <c r="O10" s="205"/>
      <c r="P10" s="205"/>
      <c r="Q10" s="205"/>
      <c r="R10" s="206">
        <v>1</v>
      </c>
      <c r="S10" s="206"/>
    </row>
    <row r="11" spans="1:19" ht="12.75" customHeight="1">
      <c r="A11" s="76" t="s">
        <v>1926</v>
      </c>
      <c r="B11" s="80" t="s">
        <v>1921</v>
      </c>
      <c r="C11" s="76" t="str">
        <f t="shared" si="0"/>
        <v>Construção de Praças Urbanas, Rodovias, Ferrovias e recapeamento e pavimentação de vias urbanas-DF</v>
      </c>
      <c r="E11" s="81">
        <v>1.0200000000000001E-2</v>
      </c>
      <c r="F11" s="81">
        <v>1.11E-2</v>
      </c>
      <c r="G11" s="81">
        <v>1.21E-2</v>
      </c>
      <c r="I11" s="84" t="s">
        <v>1928</v>
      </c>
      <c r="J11" s="207" t="s">
        <v>1929</v>
      </c>
      <c r="K11" s="207"/>
      <c r="L11" s="207"/>
      <c r="M11" s="207"/>
      <c r="N11" s="207"/>
      <c r="O11" s="207"/>
      <c r="P11" s="207"/>
      <c r="Q11" s="207"/>
      <c r="R11" s="206">
        <v>0.05</v>
      </c>
      <c r="S11" s="206"/>
    </row>
    <row r="12" spans="1:19">
      <c r="A12" s="76" t="s">
        <v>1926</v>
      </c>
      <c r="B12" s="80" t="s">
        <v>1922</v>
      </c>
      <c r="C12" s="76" t="str">
        <f t="shared" si="0"/>
        <v>Construção de Praças Urbanas, Rodovias, Ferrovias e recapeamento e pavimentação de vias urbanas-L</v>
      </c>
      <c r="E12" s="81">
        <v>6.6400000000000001E-2</v>
      </c>
      <c r="F12" s="81">
        <v>7.2999999999999995E-2</v>
      </c>
      <c r="G12" s="81">
        <v>8.6899999999999991E-2</v>
      </c>
      <c r="I12" s="78" t="s">
        <v>1930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ht="26.4">
      <c r="A13" s="76" t="s">
        <v>1926</v>
      </c>
      <c r="B13" s="83" t="s">
        <v>1924</v>
      </c>
      <c r="C13" s="76" t="str">
        <f t="shared" si="0"/>
        <v>Construção de Praças Urbanas, Rodovias, Ferrovias e recapeamento e pavimentação de vias urbanas-BDI PAD</v>
      </c>
      <c r="E13" s="81">
        <v>0.19600000000000001</v>
      </c>
      <c r="F13" s="81">
        <v>0.2097</v>
      </c>
      <c r="G13" s="81">
        <v>0.24230000000000002</v>
      </c>
      <c r="I13" s="78" t="s">
        <v>1930</v>
      </c>
    </row>
    <row r="14" spans="1:19" ht="15.6">
      <c r="A14" s="76" t="s">
        <v>1931</v>
      </c>
      <c r="B14" s="80" t="s">
        <v>1914</v>
      </c>
      <c r="C14" s="76" t="str">
        <f t="shared" si="0"/>
        <v>Construção de Redes de Abastecimento de Água, Coleta de Esgoto-AC</v>
      </c>
      <c r="E14" s="81">
        <v>3.4300000000000004E-2</v>
      </c>
      <c r="F14" s="81">
        <v>4.9299999999999997E-2</v>
      </c>
      <c r="G14" s="81">
        <v>6.7099999999999993E-2</v>
      </c>
      <c r="I14" s="78" t="s">
        <v>1930</v>
      </c>
      <c r="J14" s="214" t="s">
        <v>1932</v>
      </c>
      <c r="K14" s="214"/>
      <c r="L14" s="214"/>
      <c r="M14" s="214"/>
      <c r="N14" s="214"/>
      <c r="O14" s="214"/>
      <c r="P14" s="214"/>
      <c r="Q14" s="214"/>
      <c r="R14" s="214"/>
      <c r="S14" s="214"/>
    </row>
    <row r="15" spans="1:19">
      <c r="A15" s="76" t="str">
        <f>A14</f>
        <v>Construção de Redes de Abastecimento de Água, Coleta de Esgoto</v>
      </c>
      <c r="B15" s="80" t="s">
        <v>1916</v>
      </c>
      <c r="C15" s="76" t="str">
        <f t="shared" si="0"/>
        <v>Construção de Redes de Abastecimento de Água, Coleta de Esgoto-SG</v>
      </c>
      <c r="E15" s="81">
        <v>2.8000000000000004E-3</v>
      </c>
      <c r="F15" s="81">
        <v>4.8999999999999998E-3</v>
      </c>
      <c r="G15" s="81">
        <v>7.4999999999999997E-3</v>
      </c>
      <c r="I15" s="78" t="s">
        <v>1930</v>
      </c>
    </row>
    <row r="16" spans="1:19">
      <c r="A16" s="76" t="str">
        <f>A15</f>
        <v>Construção de Redes de Abastecimento de Água, Coleta de Esgoto</v>
      </c>
      <c r="B16" s="80" t="s">
        <v>1917</v>
      </c>
      <c r="C16" s="76" t="str">
        <f t="shared" si="0"/>
        <v>Construção de Redes de Abastecimento de Água, Coleta de Esgoto-R</v>
      </c>
      <c r="E16" s="81">
        <v>0.01</v>
      </c>
      <c r="F16" s="81">
        <v>1.3899999999999999E-2</v>
      </c>
      <c r="G16" s="81">
        <v>1.7399999999999999E-2</v>
      </c>
      <c r="I16" s="78" t="s">
        <v>1930</v>
      </c>
      <c r="J16" s="203" t="s">
        <v>1933</v>
      </c>
      <c r="K16" s="203"/>
      <c r="L16" s="203"/>
      <c r="M16" s="203"/>
      <c r="N16" s="203"/>
      <c r="O16" s="203"/>
      <c r="P16" s="203"/>
      <c r="Q16" s="203"/>
      <c r="R16" s="203"/>
      <c r="S16" s="203"/>
    </row>
    <row r="17" spans="1:26">
      <c r="A17" s="76" t="str">
        <f>A16</f>
        <v>Construção de Redes de Abastecimento de Água, Coleta de Esgoto</v>
      </c>
      <c r="B17" s="80" t="s">
        <v>1921</v>
      </c>
      <c r="C17" s="76" t="str">
        <f t="shared" si="0"/>
        <v>Construção de Redes de Abastecimento de Água, Coleta de Esgoto-DF</v>
      </c>
      <c r="E17" s="81">
        <v>9.3999999999999986E-3</v>
      </c>
      <c r="F17" s="81">
        <v>9.8999999999999991E-3</v>
      </c>
      <c r="G17" s="81">
        <v>1.1699999999999999E-2</v>
      </c>
      <c r="I17" s="78" t="s">
        <v>1930</v>
      </c>
      <c r="J17" s="215" t="s">
        <v>1913</v>
      </c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6">
      <c r="A18" s="76" t="str">
        <f>A17</f>
        <v>Construção de Redes de Abastecimento de Água, Coleta de Esgoto</v>
      </c>
      <c r="B18" s="80" t="s">
        <v>1922</v>
      </c>
      <c r="C18" s="76" t="str">
        <f t="shared" si="0"/>
        <v>Construção de Redes de Abastecimento de Água, Coleta de Esgoto-L</v>
      </c>
      <c r="E18" s="81">
        <v>6.7400000000000002E-2</v>
      </c>
      <c r="F18" s="81">
        <v>8.0399999999999985E-2</v>
      </c>
      <c r="G18" s="81">
        <v>9.4E-2</v>
      </c>
      <c r="I18" s="78" t="s">
        <v>1930</v>
      </c>
    </row>
    <row r="19" spans="1:26" ht="12.75" customHeight="1">
      <c r="A19" s="76" t="str">
        <f>A18</f>
        <v>Construção de Redes de Abastecimento de Água, Coleta de Esgoto</v>
      </c>
      <c r="B19" s="83" t="s">
        <v>1924</v>
      </c>
      <c r="C19" s="76" t="str">
        <f t="shared" si="0"/>
        <v>Construção de Redes de Abastecimento de Água, Coleta de Esgoto-BDI PAD</v>
      </c>
      <c r="E19" s="81">
        <v>0.20760000000000001</v>
      </c>
      <c r="F19" s="81">
        <v>0.24179999999999999</v>
      </c>
      <c r="G19" s="81">
        <v>0.26440000000000002</v>
      </c>
      <c r="I19" s="78" t="s">
        <v>1930</v>
      </c>
      <c r="J19" s="216" t="s">
        <v>1934</v>
      </c>
      <c r="K19" s="216"/>
      <c r="L19" s="216"/>
      <c r="M19" s="216"/>
      <c r="N19" s="216"/>
      <c r="O19" s="216"/>
      <c r="P19" s="216"/>
      <c r="Q19" s="216"/>
      <c r="R19" s="216" t="s">
        <v>1935</v>
      </c>
      <c r="S19" s="217" t="s">
        <v>1936</v>
      </c>
      <c r="U19" s="217" t="s">
        <v>1937</v>
      </c>
      <c r="V19" s="217"/>
      <c r="W19" s="217"/>
      <c r="X19" s="211" t="s">
        <v>1938</v>
      </c>
      <c r="Y19" s="211" t="s">
        <v>1939</v>
      </c>
      <c r="Z19" s="211" t="s">
        <v>1940</v>
      </c>
    </row>
    <row r="20" spans="1:26" ht="12.75" customHeight="1">
      <c r="A20" s="76" t="s">
        <v>1941</v>
      </c>
      <c r="B20" s="80" t="s">
        <v>1914</v>
      </c>
      <c r="C20" s="76" t="str">
        <f t="shared" si="0"/>
        <v>Construção e Manutenção de Estações e Redes de Distribuição de Energia Elétrica-AC</v>
      </c>
      <c r="E20" s="81">
        <v>5.2900000000000003E-2</v>
      </c>
      <c r="F20" s="81">
        <v>5.9200000000000003E-2</v>
      </c>
      <c r="G20" s="81">
        <v>7.9299999999999995E-2</v>
      </c>
      <c r="I20" s="78" t="s">
        <v>1930</v>
      </c>
      <c r="J20" s="216"/>
      <c r="K20" s="216"/>
      <c r="L20" s="216"/>
      <c r="M20" s="216"/>
      <c r="N20" s="216"/>
      <c r="O20" s="216"/>
      <c r="P20" s="216"/>
      <c r="Q20" s="216"/>
      <c r="R20" s="216"/>
      <c r="S20" s="217"/>
      <c r="U20" s="217"/>
      <c r="V20" s="217"/>
      <c r="W20" s="217"/>
      <c r="X20" s="211"/>
      <c r="Y20" s="211"/>
      <c r="Z20" s="211"/>
    </row>
    <row r="21" spans="1:26" ht="15" customHeight="1">
      <c r="A21" s="76" t="str">
        <f>A20</f>
        <v>Construção e Manutenção de Estações e Redes de Distribuição de Energia Elétrica</v>
      </c>
      <c r="B21" s="80" t="s">
        <v>1916</v>
      </c>
      <c r="C21" s="76" t="str">
        <f t="shared" si="0"/>
        <v>Construção e Manutenção de Estações e Redes de Distribuição de Energia Elétrica-SG</v>
      </c>
      <c r="E21" s="81">
        <v>2.5000000000000001E-3</v>
      </c>
      <c r="F21" s="81">
        <v>5.1000000000000004E-3</v>
      </c>
      <c r="G21" s="81">
        <v>5.6000000000000008E-3</v>
      </c>
      <c r="I21" s="78" t="s">
        <v>1930</v>
      </c>
      <c r="J21" s="212" t="str">
        <f>IF($J$17=$A$146,"Encargos Sociais incidentes sobre a mão de obra","Administração Central")</f>
        <v>Administração Central</v>
      </c>
      <c r="K21" s="212"/>
      <c r="L21" s="212"/>
      <c r="M21" s="212"/>
      <c r="N21" s="212"/>
      <c r="O21" s="212"/>
      <c r="P21" s="212"/>
      <c r="Q21" s="212"/>
      <c r="R21" s="86" t="str">
        <f>IF($J17=$A$146,"K1","AC")</f>
        <v>AC</v>
      </c>
      <c r="S21" s="87">
        <v>0.04</v>
      </c>
      <c r="U21" s="213" t="s">
        <v>1942</v>
      </c>
      <c r="V21" s="213"/>
      <c r="W21" s="213"/>
      <c r="X21" s="88">
        <f>VLOOKUP(CONCATENATE(J17,"-",R21),$C$2:$G$136,3,FALSE)</f>
        <v>0.03</v>
      </c>
      <c r="Y21" s="88">
        <f>VLOOKUP(CONCATENATE(J17,"-",R21),$C$2:$G$136,4,FALSE)</f>
        <v>0.04</v>
      </c>
      <c r="Z21" s="88">
        <f>VLOOKUP(CONCATENATE(J17,"-",R21),$C$2:$G$136,5,FALSE)</f>
        <v>5.5E-2</v>
      </c>
    </row>
    <row r="22" spans="1:26" ht="15" customHeight="1">
      <c r="A22" s="76" t="str">
        <f>A21</f>
        <v>Construção e Manutenção de Estações e Redes de Distribuição de Energia Elétrica</v>
      </c>
      <c r="B22" s="80" t="s">
        <v>1917</v>
      </c>
      <c r="C22" s="76" t="str">
        <f t="shared" si="0"/>
        <v>Construção e Manutenção de Estações e Redes de Distribuição de Energia Elétrica-R</v>
      </c>
      <c r="E22" s="81">
        <v>0.01</v>
      </c>
      <c r="F22" s="81">
        <v>1.4800000000000001E-2</v>
      </c>
      <c r="G22" s="81">
        <v>1.9699999999999999E-2</v>
      </c>
      <c r="I22" s="78" t="s">
        <v>1930</v>
      </c>
      <c r="J22" s="212" t="str">
        <f>IF($J$17=$A$146,"Administração Central da empresa ou consultoria - overhead","Seguro e Garantia")</f>
        <v>Seguro e Garantia</v>
      </c>
      <c r="K22" s="212"/>
      <c r="L22" s="212"/>
      <c r="M22" s="212"/>
      <c r="N22" s="212"/>
      <c r="O22" s="212"/>
      <c r="P22" s="212"/>
      <c r="Q22" s="212"/>
      <c r="R22" s="86" t="str">
        <f>IF($J17=$A$146,"K2","SG")</f>
        <v>SG</v>
      </c>
      <c r="S22" s="87">
        <v>8.0000000000000002E-3</v>
      </c>
      <c r="U22" s="213" t="s">
        <v>1942</v>
      </c>
      <c r="V22" s="213"/>
      <c r="W22" s="213"/>
      <c r="X22" s="88">
        <f>VLOOKUP(CONCATENATE(J17,"-",R22),$C$2:$G$136,3,FALSE)</f>
        <v>8.0000000000000002E-3</v>
      </c>
      <c r="Y22" s="88">
        <f>VLOOKUP(CONCATENATE(J17,"-",R22),$C$2:$G$136,4,FALSE)</f>
        <v>8.0000000000000002E-3</v>
      </c>
      <c r="Z22" s="88">
        <f>VLOOKUP(CONCATENATE(J17,"-",R22),$C$2:$G$136,5,FALSE)</f>
        <v>0.01</v>
      </c>
    </row>
    <row r="23" spans="1:26" ht="15" customHeight="1">
      <c r="A23" s="76" t="str">
        <f>A22</f>
        <v>Construção e Manutenção de Estações e Redes de Distribuição de Energia Elétrica</v>
      </c>
      <c r="B23" s="80" t="s">
        <v>1921</v>
      </c>
      <c r="C23" s="76" t="str">
        <f t="shared" si="0"/>
        <v>Construção e Manutenção de Estações e Redes de Distribuição de Energia Elétrica-DF</v>
      </c>
      <c r="E23" s="81">
        <v>1.01E-2</v>
      </c>
      <c r="F23" s="81">
        <v>1.0700000000000001E-2</v>
      </c>
      <c r="G23" s="81">
        <v>1.11E-2</v>
      </c>
      <c r="I23" s="78" t="s">
        <v>1930</v>
      </c>
      <c r="J23" s="212" t="str">
        <f>IF($J$17=$A$146,"","Risco")</f>
        <v>Risco</v>
      </c>
      <c r="K23" s="212"/>
      <c r="L23" s="212"/>
      <c r="M23" s="212"/>
      <c r="N23" s="212"/>
      <c r="O23" s="212"/>
      <c r="P23" s="212"/>
      <c r="Q23" s="212"/>
      <c r="R23" s="86" t="str">
        <f>IF($J17=$A$146,"","R")</f>
        <v>R</v>
      </c>
      <c r="S23" s="87">
        <v>1.2699999999999999E-2</v>
      </c>
      <c r="U23" s="213" t="s">
        <v>1942</v>
      </c>
      <c r="V23" s="213"/>
      <c r="W23" s="213"/>
      <c r="X23" s="88">
        <f>VLOOKUP(CONCATENATE(J17,"-",R23),$C$2:$G$136,3,FALSE)</f>
        <v>9.7000000000000003E-3</v>
      </c>
      <c r="Y23" s="88">
        <f>VLOOKUP(CONCATENATE(J17,"-",R23),$C$2:$G$136,4,FALSE)</f>
        <v>1.2699999999999999E-2</v>
      </c>
      <c r="Z23" s="88">
        <f>VLOOKUP(CONCATENATE(J17,"-",R23),$C$2:$G$136,5,FALSE)</f>
        <v>1.2699999999999999E-2</v>
      </c>
    </row>
    <row r="24" spans="1:26" ht="15" customHeight="1">
      <c r="A24" s="76" t="str">
        <f>A23</f>
        <v>Construção e Manutenção de Estações e Redes de Distribuição de Energia Elétrica</v>
      </c>
      <c r="B24" s="80" t="s">
        <v>1922</v>
      </c>
      <c r="C24" s="76" t="str">
        <f t="shared" si="0"/>
        <v>Construção e Manutenção de Estações e Redes de Distribuição de Energia Elétrica-L</v>
      </c>
      <c r="E24" s="81">
        <v>0.08</v>
      </c>
      <c r="F24" s="81">
        <v>8.3100000000000007E-2</v>
      </c>
      <c r="G24" s="81">
        <v>9.5100000000000004E-2</v>
      </c>
      <c r="I24" s="78" t="s">
        <v>1930</v>
      </c>
      <c r="J24" s="212" t="str">
        <f>IF($J$17=$A$146,"","Despesas Financeiras")</f>
        <v>Despesas Financeiras</v>
      </c>
      <c r="K24" s="212"/>
      <c r="L24" s="212"/>
      <c r="M24" s="212"/>
      <c r="N24" s="212"/>
      <c r="O24" s="212"/>
      <c r="P24" s="212"/>
      <c r="Q24" s="212"/>
      <c r="R24" s="86" t="str">
        <f>IF($J17=$A$146,"","DF")</f>
        <v>DF</v>
      </c>
      <c r="S24" s="87">
        <v>1.3899999999999999E-2</v>
      </c>
      <c r="U24" s="213" t="s">
        <v>1942</v>
      </c>
      <c r="V24" s="213"/>
      <c r="W24" s="213"/>
      <c r="X24" s="88">
        <f>VLOOKUP(CONCATENATE(J17,"-",R24),$C$2:$G$136,3,FALSE)</f>
        <v>5.8999999999999999E-3</v>
      </c>
      <c r="Y24" s="88">
        <f>VLOOKUP(CONCATENATE(J17,"-",R24),$C$2:$G$136,4,FALSE)</f>
        <v>1.23E-2</v>
      </c>
      <c r="Z24" s="88">
        <f>VLOOKUP(CONCATENATE(J17,"-",R24),$C$2:$G$136,5,FALSE)</f>
        <v>1.3899999999999999E-2</v>
      </c>
    </row>
    <row r="25" spans="1:26" ht="15" customHeight="1">
      <c r="A25" s="76" t="str">
        <f>A24</f>
        <v>Construção e Manutenção de Estações e Redes de Distribuição de Energia Elétrica</v>
      </c>
      <c r="B25" s="83" t="s">
        <v>1924</v>
      </c>
      <c r="C25" s="76" t="str">
        <f t="shared" si="0"/>
        <v>Construção e Manutenção de Estações e Redes de Distribuição de Energia Elétrica-BDI PAD</v>
      </c>
      <c r="E25" s="81">
        <v>0.24</v>
      </c>
      <c r="F25" s="81">
        <v>0.25840000000000002</v>
      </c>
      <c r="G25" s="81">
        <v>0.27860000000000001</v>
      </c>
      <c r="I25" s="78" t="s">
        <v>1930</v>
      </c>
      <c r="J25" s="212" t="str">
        <f>IF($J$17=$A$146,"Margem bruta da empresa de consultoria","Lucro")</f>
        <v>Lucro</v>
      </c>
      <c r="K25" s="212"/>
      <c r="L25" s="212"/>
      <c r="M25" s="212"/>
      <c r="N25" s="212"/>
      <c r="O25" s="212"/>
      <c r="P25" s="212"/>
      <c r="Q25" s="212"/>
      <c r="R25" s="86" t="str">
        <f>IF($J17=$A$146,"K3","L")</f>
        <v>L</v>
      </c>
      <c r="S25" s="87">
        <v>6.1800000000000001E-2</v>
      </c>
      <c r="U25" s="213" t="s">
        <v>1942</v>
      </c>
      <c r="V25" s="213"/>
      <c r="W25" s="213"/>
      <c r="X25" s="88">
        <f>VLOOKUP(CONCATENATE(J17,"-",R25),$C$2:$G$136,3,FALSE)</f>
        <v>6.1600000000000002E-2</v>
      </c>
      <c r="Y25" s="88">
        <f>VLOOKUP(CONCATENATE(J17,"-",R25),$C$2:$G$136,4,FALSE)</f>
        <v>7.400000000000001E-2</v>
      </c>
      <c r="Z25" s="88">
        <f>VLOOKUP(CONCATENATE(J17,"-",R25),$C$2:$G$136,5,FALSE)</f>
        <v>8.9600000000000013E-2</v>
      </c>
    </row>
    <row r="26" spans="1:26" ht="15" customHeight="1">
      <c r="A26" s="76" t="s">
        <v>1943</v>
      </c>
      <c r="B26" s="80" t="s">
        <v>1914</v>
      </c>
      <c r="C26" s="76" t="str">
        <f t="shared" si="0"/>
        <v>Obras Portuárias, Marítimas e Fluviais-AC</v>
      </c>
      <c r="E26" s="81">
        <v>0.04</v>
      </c>
      <c r="F26" s="81">
        <v>5.5199999999999999E-2</v>
      </c>
      <c r="G26" s="81">
        <v>7.85E-2</v>
      </c>
      <c r="I26" s="78" t="s">
        <v>1930</v>
      </c>
      <c r="J26" s="212" t="s">
        <v>1944</v>
      </c>
      <c r="K26" s="212"/>
      <c r="L26" s="212"/>
      <c r="M26" s="212"/>
      <c r="N26" s="212"/>
      <c r="O26" s="212"/>
      <c r="P26" s="212"/>
      <c r="Q26" s="212"/>
      <c r="R26" s="86" t="s">
        <v>1945</v>
      </c>
      <c r="S26" s="87">
        <v>3.6499999999999998E-2</v>
      </c>
      <c r="U26" s="213" t="s">
        <v>1942</v>
      </c>
      <c r="V26" s="213"/>
      <c r="W26" s="213"/>
      <c r="X26" s="88">
        <v>3.6499999999999998E-2</v>
      </c>
      <c r="Y26" s="88">
        <v>3.6499999999999998E-2</v>
      </c>
      <c r="Z26" s="88">
        <v>3.6499999999999998E-2</v>
      </c>
    </row>
    <row r="27" spans="1:26" ht="15" customHeight="1">
      <c r="A27" s="76" t="str">
        <f>A26</f>
        <v>Obras Portuárias, Marítimas e Fluviais</v>
      </c>
      <c r="B27" s="80" t="s">
        <v>1916</v>
      </c>
      <c r="C27" s="76" t="str">
        <f t="shared" si="0"/>
        <v>Obras Portuárias, Marítimas e Fluviais-SG</v>
      </c>
      <c r="E27" s="81">
        <v>8.1000000000000013E-3</v>
      </c>
      <c r="F27" s="81">
        <v>1.2199999999999999E-2</v>
      </c>
      <c r="G27" s="81">
        <v>1.9900000000000001E-2</v>
      </c>
      <c r="I27" s="78" t="s">
        <v>1930</v>
      </c>
      <c r="J27" s="212" t="s">
        <v>1946</v>
      </c>
      <c r="K27" s="212"/>
      <c r="L27" s="212"/>
      <c r="M27" s="212"/>
      <c r="N27" s="212"/>
      <c r="O27" s="212"/>
      <c r="P27" s="212"/>
      <c r="Q27" s="212"/>
      <c r="R27" s="86" t="s">
        <v>1947</v>
      </c>
      <c r="S27" s="88">
        <f ca="1">IF(AND($J17&lt;&gt;$A$145,COUNTA(OFFSET(S20,1,0,6))&gt;0),$R$11*$R$10,0)</f>
        <v>0.05</v>
      </c>
      <c r="U27" s="213" t="s">
        <v>1942</v>
      </c>
      <c r="V27" s="213"/>
      <c r="W27" s="213"/>
      <c r="X27" s="88">
        <v>0</v>
      </c>
      <c r="Y27" s="88">
        <v>2.5000000000000001E-2</v>
      </c>
      <c r="Z27" s="88">
        <v>0.05</v>
      </c>
    </row>
    <row r="28" spans="1:26" ht="15" customHeight="1">
      <c r="A28" s="76" t="str">
        <f>A27</f>
        <v>Obras Portuárias, Marítimas e Fluviais</v>
      </c>
      <c r="B28" s="80" t="s">
        <v>1917</v>
      </c>
      <c r="C28" s="76" t="str">
        <f t="shared" si="0"/>
        <v>Obras Portuárias, Marítimas e Fluviais-R</v>
      </c>
      <c r="E28" s="81">
        <v>1.46E-2</v>
      </c>
      <c r="F28" s="81">
        <v>2.3199999999999998E-2</v>
      </c>
      <c r="G28" s="81">
        <v>3.1600000000000003E-2</v>
      </c>
      <c r="I28" s="78" t="s">
        <v>1930</v>
      </c>
      <c r="J28" s="212" t="s">
        <v>1948</v>
      </c>
      <c r="K28" s="212"/>
      <c r="L28" s="212"/>
      <c r="M28" s="212"/>
      <c r="N28" s="212"/>
      <c r="O28" s="212"/>
      <c r="P28" s="212"/>
      <c r="Q28" s="212"/>
      <c r="R28" s="86" t="s">
        <v>1949</v>
      </c>
      <c r="S28" s="88">
        <f ca="1">IF(BDI.Opcao&lt;&gt;"Desonerado",0,IF(AND($J17&lt;&gt;$A$145,COUNTA(OFFSET(S20,1,0,6))&gt;0),4.5%,0%))</f>
        <v>0</v>
      </c>
      <c r="U28" s="213" t="s">
        <v>1942</v>
      </c>
      <c r="V28" s="213"/>
      <c r="W28" s="213"/>
      <c r="X28" s="89">
        <v>0</v>
      </c>
      <c r="Y28" s="89">
        <v>4.4999999999999998E-2</v>
      </c>
      <c r="Z28" s="89">
        <v>4.4999999999999998E-2</v>
      </c>
    </row>
    <row r="29" spans="1:26" ht="15" customHeight="1">
      <c r="A29" s="76" t="str">
        <f>A28</f>
        <v>Obras Portuárias, Marítimas e Fluviais</v>
      </c>
      <c r="B29" s="80" t="s">
        <v>1921</v>
      </c>
      <c r="C29" s="76" t="str">
        <f t="shared" si="0"/>
        <v>Obras Portuárias, Marítimas e Fluviais-DF</v>
      </c>
      <c r="E29" s="81">
        <v>9.3999999999999986E-3</v>
      </c>
      <c r="F29" s="81">
        <v>1.0200000000000001E-2</v>
      </c>
      <c r="G29" s="81">
        <v>1.3300000000000001E-2</v>
      </c>
      <c r="I29" s="78" t="s">
        <v>1930</v>
      </c>
      <c r="J29" s="212" t="s">
        <v>1950</v>
      </c>
      <c r="K29" s="212"/>
      <c r="L29" s="212"/>
      <c r="M29" s="212"/>
      <c r="N29" s="212"/>
      <c r="O29" s="212"/>
      <c r="P29" s="212"/>
      <c r="Q29" s="212"/>
      <c r="R29" s="90" t="s">
        <v>1924</v>
      </c>
      <c r="S29" s="88">
        <f ca="1">IF($J17=$A$145,0,ROUND((((1+S21+S22+S23)*(1+S24)*(1+S25)/(1-(S26+S27)))-1),4))</f>
        <v>0.25</v>
      </c>
      <c r="U29" s="217" t="str">
        <f ca="1">IF(OR($J$17=$A$146,$J$17=$A$145,AND(S29&gt;=X29,S29&lt;=Z29)),"OK","FORA DO INTERVALO")</f>
        <v>OK</v>
      </c>
      <c r="V29" s="217"/>
      <c r="W29" s="217"/>
      <c r="X29" s="88">
        <f>IF($J17=$A$145,0,VLOOKUP(CONCATENATE($J17,"-",$R29),$C$2:$G$136,3,FALSE))</f>
        <v>0.2034</v>
      </c>
      <c r="Y29" s="88">
        <f>IF($J17=$A$145,0,VLOOKUP(CONCATENATE($J17,"-",$R29),$C$2:$G$136,4,FALSE))</f>
        <v>0.22120000000000001</v>
      </c>
      <c r="Z29" s="88">
        <f>IF($J17=$A$145,0,VLOOKUP(CONCATENATE($J17,"-",$R29),$C$2:$G$136,5,FALSE))</f>
        <v>0.25</v>
      </c>
    </row>
    <row r="30" spans="1:26" ht="15" customHeight="1">
      <c r="A30" s="76" t="str">
        <f>A29</f>
        <v>Obras Portuárias, Marítimas e Fluviais</v>
      </c>
      <c r="B30" s="80" t="s">
        <v>1922</v>
      </c>
      <c r="C30" s="76" t="str">
        <f t="shared" si="0"/>
        <v>Obras Portuárias, Marítimas e Fluviais-L</v>
      </c>
      <c r="E30" s="81">
        <v>7.1399999999999991E-2</v>
      </c>
      <c r="F30" s="81">
        <v>8.4000000000000005E-2</v>
      </c>
      <c r="G30" s="81">
        <v>0.1043</v>
      </c>
      <c r="I30" s="78" t="s">
        <v>1930</v>
      </c>
      <c r="J30" s="218" t="s">
        <v>1951</v>
      </c>
      <c r="K30" s="218"/>
      <c r="L30" s="218"/>
      <c r="M30" s="218"/>
      <c r="N30" s="218"/>
      <c r="O30" s="218"/>
      <c r="P30" s="218"/>
      <c r="Q30" s="218"/>
      <c r="R30" s="91" t="s">
        <v>1952</v>
      </c>
      <c r="S30" s="92">
        <f ca="1">IF($J17=$A$145,0,ROUND((((1+S21+S22+S23)*(1+S24)*(1+S25)/(1-(S26+S27+S28)))-1),4))</f>
        <v>0.25</v>
      </c>
    </row>
    <row r="31" spans="1:26" ht="26.4">
      <c r="A31" s="76" t="str">
        <f>A30</f>
        <v>Obras Portuárias, Marítimas e Fluviais</v>
      </c>
      <c r="B31" s="83" t="s">
        <v>1924</v>
      </c>
      <c r="C31" s="76" t="str">
        <f t="shared" si="0"/>
        <v>Obras Portuárias, Marítimas e Fluviais-BDI PAD</v>
      </c>
      <c r="E31" s="81">
        <v>0.22800000000000001</v>
      </c>
      <c r="F31" s="81">
        <v>0.27479999999999999</v>
      </c>
      <c r="G31" s="81">
        <v>0.3095</v>
      </c>
      <c r="I31" s="78" t="s">
        <v>1930</v>
      </c>
    </row>
    <row r="32" spans="1:26" ht="15.6">
      <c r="A32" s="76" t="s">
        <v>1953</v>
      </c>
      <c r="B32" s="80" t="s">
        <v>1914</v>
      </c>
      <c r="C32" s="76" t="str">
        <f t="shared" si="0"/>
        <v>Fornecimento de Materiais e Equipamentos (aquisição indireta - em conjunto com licitação de obras)-AC</v>
      </c>
      <c r="E32" s="81">
        <v>1.4999999999999999E-2</v>
      </c>
      <c r="F32" s="81">
        <v>3.4500000000000003E-2</v>
      </c>
      <c r="G32" s="81">
        <v>4.4900000000000002E-2</v>
      </c>
      <c r="I32" s="78" t="s">
        <v>1930</v>
      </c>
      <c r="J32" s="93" t="str">
        <f ca="1">IF(U29&lt;&gt;"ok","X","")</f>
        <v/>
      </c>
      <c r="K32" s="219" t="str">
        <f ca="1">IF(U29&lt;&gt;"ok","Anexo: Relatório Técnico Circunstanciado justificando a adoção do percentual de cada parcela do BDI.","")</f>
        <v/>
      </c>
      <c r="L32" s="219"/>
      <c r="M32" s="219"/>
      <c r="N32" s="219"/>
      <c r="O32" s="219"/>
      <c r="P32" s="219"/>
      <c r="Q32" s="219"/>
      <c r="R32" s="219"/>
      <c r="S32" s="219"/>
    </row>
    <row r="33" spans="1:19">
      <c r="A33" s="76" t="str">
        <f>A32</f>
        <v>Fornecimento de Materiais e Equipamentos (aquisição indireta - em conjunto com licitação de obras)</v>
      </c>
      <c r="B33" s="80" t="s">
        <v>1916</v>
      </c>
      <c r="C33" s="76" t="str">
        <f t="shared" si="0"/>
        <v>Fornecimento de Materiais e Equipamentos (aquisição indireta - em conjunto com licitação de obras)-SG</v>
      </c>
      <c r="E33" s="81">
        <v>3.0000000000000001E-3</v>
      </c>
      <c r="F33" s="81">
        <v>4.7999999999999996E-3</v>
      </c>
      <c r="G33" s="81">
        <v>8.199999999999999E-3</v>
      </c>
      <c r="I33" s="78" t="s">
        <v>1930</v>
      </c>
    </row>
    <row r="34" spans="1:19">
      <c r="A34" s="76" t="str">
        <f>A33</f>
        <v>Fornecimento de Materiais e Equipamentos (aquisição indireta - em conjunto com licitação de obras)</v>
      </c>
      <c r="B34" s="80" t="s">
        <v>1917</v>
      </c>
      <c r="C34" s="76" t="str">
        <f t="shared" si="0"/>
        <v>Fornecimento de Materiais e Equipamentos (aquisição indireta - em conjunto com licitação de obras)-R</v>
      </c>
      <c r="E34" s="81">
        <v>5.6000000000000008E-3</v>
      </c>
      <c r="F34" s="81">
        <v>8.5000000000000006E-3</v>
      </c>
      <c r="G34" s="81">
        <v>8.8999999999999999E-3</v>
      </c>
      <c r="I34" s="78" t="s">
        <v>1930</v>
      </c>
      <c r="J34" s="226" t="s">
        <v>1954</v>
      </c>
      <c r="K34" s="226"/>
      <c r="L34" s="226"/>
      <c r="M34" s="226"/>
      <c r="N34" s="226"/>
      <c r="O34" s="226"/>
      <c r="P34" s="226"/>
      <c r="Q34" s="226"/>
      <c r="R34" s="226"/>
      <c r="S34" s="226"/>
    </row>
    <row r="35" spans="1:19" ht="15.6">
      <c r="A35" s="76" t="str">
        <f>A34</f>
        <v>Fornecimento de Materiais e Equipamentos (aquisição indireta - em conjunto com licitação de obras)</v>
      </c>
      <c r="B35" s="80" t="s">
        <v>1921</v>
      </c>
      <c r="C35" s="76" t="str">
        <f t="shared" si="0"/>
        <v>Fornecimento de Materiais e Equipamentos (aquisição indireta - em conjunto com licitação de obras)-DF</v>
      </c>
      <c r="E35" s="81">
        <v>8.5000000000000006E-3</v>
      </c>
      <c r="F35" s="81">
        <v>8.5000000000000006E-3</v>
      </c>
      <c r="G35" s="81">
        <v>1.11E-2</v>
      </c>
      <c r="I35" s="78" t="s">
        <v>1930</v>
      </c>
      <c r="J35" s="94"/>
      <c r="K35" s="94"/>
      <c r="L35" s="94"/>
      <c r="M35" s="227" t="s">
        <v>1955</v>
      </c>
      <c r="N35" s="228" t="str">
        <f>IF($J17=$A$146,"(1+K1+K2)*(1+K3)","(1+AC + S + R + G)*(1 + DF)*(1+L)")</f>
        <v>(1+AC + S + R + G)*(1 + DF)*(1+L)</v>
      </c>
      <c r="O35" s="228"/>
      <c r="P35" s="228"/>
      <c r="Q35" s="229" t="s">
        <v>1956</v>
      </c>
      <c r="R35" s="94"/>
      <c r="S35" s="94"/>
    </row>
    <row r="36" spans="1:19" ht="15.6">
      <c r="A36" s="76" t="str">
        <f>A35</f>
        <v>Fornecimento de Materiais e Equipamentos (aquisição indireta - em conjunto com licitação de obras)</v>
      </c>
      <c r="B36" s="80" t="s">
        <v>1922</v>
      </c>
      <c r="C36" s="76" t="str">
        <f t="shared" si="0"/>
        <v>Fornecimento de Materiais e Equipamentos (aquisição indireta - em conjunto com licitação de obras)-L</v>
      </c>
      <c r="E36" s="81">
        <v>3.5000000000000003E-2</v>
      </c>
      <c r="F36" s="81">
        <v>5.1100000000000007E-2</v>
      </c>
      <c r="G36" s="81">
        <v>6.2199999999999998E-2</v>
      </c>
      <c r="I36" s="78" t="s">
        <v>1930</v>
      </c>
      <c r="J36" s="94"/>
      <c r="K36" s="94"/>
      <c r="L36" s="94"/>
      <c r="M36" s="227"/>
      <c r="N36" s="230" t="s">
        <v>1957</v>
      </c>
      <c r="O36" s="230"/>
      <c r="P36" s="230"/>
      <c r="Q36" s="229"/>
      <c r="R36" s="94"/>
      <c r="S36" s="94"/>
    </row>
    <row r="37" spans="1:19" ht="15" customHeight="1">
      <c r="A37" s="76" t="str">
        <f>A36</f>
        <v>Fornecimento de Materiais e Equipamentos (aquisição indireta - em conjunto com licitação de obras)</v>
      </c>
      <c r="B37" s="83" t="s">
        <v>1924</v>
      </c>
      <c r="C37" s="76" t="str">
        <f t="shared" si="0"/>
        <v>Fornecimento de Materiais e Equipamentos (aquisição indireta - em conjunto com licitação de obras)-BDI PAD</v>
      </c>
      <c r="E37" s="81">
        <v>0.111</v>
      </c>
      <c r="F37" s="81">
        <v>0.14019999999999999</v>
      </c>
      <c r="G37" s="81">
        <v>0.16800000000000001</v>
      </c>
      <c r="I37" s="78" t="s">
        <v>1930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1:19" ht="50.1" customHeight="1">
      <c r="A38" s="76" t="s">
        <v>1958</v>
      </c>
      <c r="B38" s="83" t="s">
        <v>1914</v>
      </c>
      <c r="C38" s="76" t="str">
        <f t="shared" si="0"/>
        <v>Fornecimento de Materiais e Equipamentos (aquisição direta)-AC</v>
      </c>
      <c r="E38" s="81" t="s">
        <v>1942</v>
      </c>
      <c r="F38" s="81" t="s">
        <v>1942</v>
      </c>
      <c r="G38" s="81" t="s">
        <v>1942</v>
      </c>
      <c r="I38" s="78" t="s">
        <v>1930</v>
      </c>
      <c r="J38" s="22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5%.</v>
      </c>
      <c r="K38" s="220"/>
      <c r="L38" s="220"/>
      <c r="M38" s="220"/>
      <c r="N38" s="220"/>
      <c r="O38" s="220"/>
      <c r="P38" s="220"/>
      <c r="Q38" s="220"/>
      <c r="R38" s="220"/>
      <c r="S38" s="220"/>
    </row>
    <row r="39" spans="1:19">
      <c r="A39" s="76" t="s">
        <v>1958</v>
      </c>
      <c r="B39" s="83" t="s">
        <v>1916</v>
      </c>
      <c r="C39" s="76" t="str">
        <f t="shared" si="0"/>
        <v>Fornecimento de Materiais e Equipamentos (aquisição direta)-SG</v>
      </c>
      <c r="E39" s="81" t="s">
        <v>1942</v>
      </c>
      <c r="F39" s="81" t="s">
        <v>1942</v>
      </c>
      <c r="G39" s="81" t="s">
        <v>1942</v>
      </c>
      <c r="I39" s="78" t="s">
        <v>1930</v>
      </c>
    </row>
    <row r="40" spans="1:19" ht="50.1" customHeight="1">
      <c r="A40" s="76" t="s">
        <v>1958</v>
      </c>
      <c r="B40" s="83" t="s">
        <v>1917</v>
      </c>
      <c r="C40" s="76" t="str">
        <f t="shared" si="0"/>
        <v>Fornecimento de Materiais e Equipamentos (aquisição direta)-R</v>
      </c>
      <c r="E40" s="81" t="s">
        <v>1942</v>
      </c>
      <c r="F40" s="81" t="s">
        <v>1942</v>
      </c>
      <c r="G40" s="81" t="s">
        <v>1942</v>
      </c>
      <c r="I40" s="78" t="s">
        <v>1930</v>
      </c>
      <c r="J40" s="220" t="e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#VALUE!</v>
      </c>
      <c r="K40" s="220"/>
      <c r="L40" s="220"/>
      <c r="M40" s="220"/>
      <c r="N40" s="220"/>
      <c r="O40" s="220"/>
      <c r="P40" s="220"/>
      <c r="Q40" s="220"/>
      <c r="R40" s="220"/>
      <c r="S40" s="220"/>
    </row>
    <row r="41" spans="1:19">
      <c r="A41" s="76" t="s">
        <v>1958</v>
      </c>
      <c r="B41" s="83" t="s">
        <v>1921</v>
      </c>
      <c r="C41" s="76" t="str">
        <f t="shared" si="0"/>
        <v>Fornecimento de Materiais e Equipamentos (aquisição direta)-DF</v>
      </c>
      <c r="E41" s="81" t="s">
        <v>1942</v>
      </c>
      <c r="F41" s="81" t="s">
        <v>1942</v>
      </c>
      <c r="G41" s="81" t="s">
        <v>1942</v>
      </c>
      <c r="I41" s="78" t="s">
        <v>1930</v>
      </c>
    </row>
    <row r="42" spans="1:19">
      <c r="A42" s="76" t="s">
        <v>1958</v>
      </c>
      <c r="B42" s="83" t="s">
        <v>1922</v>
      </c>
      <c r="C42" s="76" t="str">
        <f t="shared" si="0"/>
        <v>Fornecimento de Materiais e Equipamentos (aquisição direta)-L</v>
      </c>
      <c r="E42" s="81" t="s">
        <v>1942</v>
      </c>
      <c r="F42" s="81" t="s">
        <v>1942</v>
      </c>
      <c r="G42" s="81" t="s">
        <v>1942</v>
      </c>
      <c r="I42" s="78" t="s">
        <v>1930</v>
      </c>
      <c r="J42" s="76" t="s">
        <v>1959</v>
      </c>
    </row>
    <row r="43" spans="1:19" ht="99.9" customHeight="1">
      <c r="A43" s="76" t="s">
        <v>1958</v>
      </c>
      <c r="B43" s="83" t="s">
        <v>1924</v>
      </c>
      <c r="C43" s="76" t="str">
        <f t="shared" si="0"/>
        <v>Fornecimento de Materiais e Equipamentos (aquisição direta)-BDI PAD</v>
      </c>
      <c r="E43" s="81" t="s">
        <v>1942</v>
      </c>
      <c r="F43" s="81" t="s">
        <v>1942</v>
      </c>
      <c r="G43" s="81" t="s">
        <v>1942</v>
      </c>
      <c r="I43" s="78" t="s">
        <v>1930</v>
      </c>
      <c r="J43" s="221"/>
      <c r="K43" s="221"/>
      <c r="L43" s="221"/>
      <c r="M43" s="221"/>
      <c r="N43" s="221"/>
      <c r="O43" s="221"/>
      <c r="P43" s="221"/>
      <c r="Q43" s="221"/>
      <c r="R43" s="221"/>
      <c r="S43" s="221"/>
    </row>
    <row r="44" spans="1:19">
      <c r="A44" s="76" t="s">
        <v>1960</v>
      </c>
      <c r="B44" s="80" t="s">
        <v>1961</v>
      </c>
      <c r="C44" s="76" t="str">
        <f t="shared" si="0"/>
        <v>Estudos e Projetos, Planos e Gerenciamento e outros correlatos-K1</v>
      </c>
      <c r="E44" s="81" t="s">
        <v>1942</v>
      </c>
      <c r="F44" s="81" t="s">
        <v>1942</v>
      </c>
      <c r="G44" s="81" t="s">
        <v>1942</v>
      </c>
      <c r="I44" s="78" t="s">
        <v>1930</v>
      </c>
    </row>
    <row r="45" spans="1:19">
      <c r="A45" s="76" t="str">
        <f>A44</f>
        <v>Estudos e Projetos, Planos e Gerenciamento e outros correlatos</v>
      </c>
      <c r="B45" s="80" t="s">
        <v>1962</v>
      </c>
      <c r="C45" s="76" t="str">
        <f t="shared" si="0"/>
        <v>Estudos e Projetos, Planos e Gerenciamento e outros correlatos-K2</v>
      </c>
      <c r="E45" s="81" t="s">
        <v>1942</v>
      </c>
      <c r="F45" s="81">
        <v>0.2</v>
      </c>
      <c r="G45" s="81" t="s">
        <v>1942</v>
      </c>
      <c r="I45" s="78" t="s">
        <v>1930</v>
      </c>
      <c r="J45" s="222" t="str">
        <f>Import.Município</f>
        <v>São João Das Missões - MG</v>
      </c>
      <c r="K45" s="222"/>
      <c r="L45" s="222"/>
      <c r="M45" s="222"/>
      <c r="P45" s="223">
        <f>[1]DADOS!$F$25</f>
        <v>45691</v>
      </c>
      <c r="Q45" s="223"/>
      <c r="R45" s="223"/>
      <c r="S45" s="223"/>
    </row>
    <row r="46" spans="1:19">
      <c r="A46" s="76" t="str">
        <f>A45</f>
        <v>Estudos e Projetos, Planos e Gerenciamento e outros correlatos</v>
      </c>
      <c r="B46" s="80"/>
      <c r="C46" s="76" t="str">
        <f t="shared" si="0"/>
        <v>Estudos e Projetos, Planos e Gerenciamento e outros correlatos-</v>
      </c>
      <c r="E46" s="81" t="s">
        <v>1942</v>
      </c>
      <c r="F46" s="81" t="s">
        <v>1942</v>
      </c>
      <c r="G46" s="81" t="s">
        <v>1942</v>
      </c>
      <c r="I46" s="78" t="s">
        <v>1930</v>
      </c>
      <c r="J46" s="224" t="s">
        <v>1963</v>
      </c>
      <c r="K46" s="224"/>
      <c r="L46" s="224"/>
      <c r="M46" s="224"/>
      <c r="O46" s="99"/>
      <c r="P46" s="100" t="s">
        <v>1964</v>
      </c>
      <c r="Q46" s="101"/>
      <c r="R46" s="101"/>
      <c r="S46" s="101"/>
    </row>
    <row r="47" spans="1:19" ht="30" customHeight="1">
      <c r="A47" s="76" t="str">
        <f>A46</f>
        <v>Estudos e Projetos, Planos e Gerenciamento e outros correlatos</v>
      </c>
      <c r="B47" s="80"/>
      <c r="C47" s="76" t="str">
        <f t="shared" si="0"/>
        <v>Estudos e Projetos, Planos e Gerenciamento e outros correlatos-</v>
      </c>
      <c r="E47" s="81" t="s">
        <v>1942</v>
      </c>
      <c r="F47" s="81" t="s">
        <v>1942</v>
      </c>
      <c r="G47" s="81" t="s">
        <v>1942</v>
      </c>
      <c r="I47" s="78" t="s">
        <v>1930</v>
      </c>
    </row>
    <row r="48" spans="1:19">
      <c r="A48" s="76" t="str">
        <f>A47</f>
        <v>Estudos e Projetos, Planos e Gerenciamento e outros correlatos</v>
      </c>
      <c r="B48" s="80" t="s">
        <v>1965</v>
      </c>
      <c r="C48" s="76" t="str">
        <f t="shared" si="0"/>
        <v>Estudos e Projetos, Planos e Gerenciamento e outros correlatos-K3</v>
      </c>
      <c r="E48" s="81" t="s">
        <v>1942</v>
      </c>
      <c r="F48" s="81">
        <v>0.12</v>
      </c>
      <c r="G48" s="81" t="s">
        <v>1942</v>
      </c>
      <c r="I48" s="78" t="s">
        <v>1930</v>
      </c>
      <c r="J48" s="225"/>
      <c r="K48" s="225"/>
      <c r="L48" s="225"/>
      <c r="M48" s="225"/>
      <c r="N48" s="102"/>
    </row>
    <row r="49" spans="1:26" ht="12.75" customHeight="1">
      <c r="A49" s="76" t="str">
        <f>A48</f>
        <v>Estudos e Projetos, Planos e Gerenciamento e outros correlatos</v>
      </c>
      <c r="B49" s="83" t="s">
        <v>1924</v>
      </c>
      <c r="C49" s="76" t="str">
        <f t="shared" si="0"/>
        <v>Estudos e Projetos, Planos e Gerenciamento e outros correlatos-BDI PAD</v>
      </c>
      <c r="E49" s="81" t="s">
        <v>1942</v>
      </c>
      <c r="F49" s="81" t="s">
        <v>1942</v>
      </c>
      <c r="G49" s="81" t="s">
        <v>1942</v>
      </c>
      <c r="I49" s="78" t="s">
        <v>1930</v>
      </c>
      <c r="J49" s="231" t="s">
        <v>1966</v>
      </c>
      <c r="K49" s="231"/>
      <c r="L49" s="231"/>
      <c r="M49" s="231"/>
    </row>
    <row r="50" spans="1:26">
      <c r="B50" s="83"/>
      <c r="E50" s="81"/>
      <c r="F50" s="81"/>
      <c r="G50" s="81"/>
      <c r="I50" s="78" t="s">
        <v>1930</v>
      </c>
      <c r="J50" s="103" t="s">
        <v>1967</v>
      </c>
      <c r="K50" s="104" t="str">
        <f t="array" ref="K50:K52">Import.RespOrçamento</f>
        <v>Gerrard Tayon Ferreira Lopo</v>
      </c>
      <c r="L50" s="105"/>
      <c r="M50" s="105"/>
      <c r="N50" s="102"/>
    </row>
    <row r="51" spans="1:26">
      <c r="A51" s="78"/>
      <c r="B51" s="78"/>
      <c r="C51" s="78"/>
      <c r="D51" s="78"/>
      <c r="E51" s="78"/>
      <c r="F51" s="78"/>
      <c r="G51" s="78"/>
      <c r="I51" s="78" t="s">
        <v>1930</v>
      </c>
      <c r="J51" s="103" t="s">
        <v>1968</v>
      </c>
      <c r="K51" s="104" t="str">
        <v>289963 MG</v>
      </c>
      <c r="L51" s="105"/>
      <c r="M51" s="105"/>
      <c r="N51" s="102"/>
    </row>
    <row r="52" spans="1:26">
      <c r="A52" s="78"/>
      <c r="B52" s="78"/>
      <c r="C52" s="78"/>
      <c r="D52" s="78"/>
      <c r="E52" s="78"/>
      <c r="F52" s="78"/>
      <c r="G52" s="78"/>
      <c r="I52" s="78" t="s">
        <v>1930</v>
      </c>
      <c r="J52" s="103" t="s">
        <v>1969</v>
      </c>
      <c r="K52" s="104">
        <v>0</v>
      </c>
      <c r="L52" s="105"/>
      <c r="M52" s="105"/>
      <c r="N52" s="102"/>
    </row>
    <row r="53" spans="1:26">
      <c r="A53" s="78"/>
      <c r="B53" s="78"/>
      <c r="C53" s="78"/>
      <c r="D53" s="78"/>
      <c r="E53" s="78"/>
      <c r="F53" s="78"/>
      <c r="G53" s="78"/>
      <c r="I53" s="78" t="s">
        <v>1930</v>
      </c>
      <c r="J53" s="103"/>
      <c r="K53" s="106"/>
      <c r="L53" s="105"/>
      <c r="M53" s="105"/>
      <c r="N53" s="102"/>
    </row>
    <row r="54" spans="1:26" ht="15.6">
      <c r="A54" s="78"/>
      <c r="B54" s="78"/>
      <c r="C54" s="78"/>
      <c r="D54" s="78"/>
      <c r="E54" s="78"/>
      <c r="F54" s="78"/>
      <c r="G54" s="78"/>
      <c r="I54" s="78" t="str">
        <f ca="1">IF($S$69=0,"","F")</f>
        <v/>
      </c>
      <c r="J54" s="214" t="s">
        <v>1970</v>
      </c>
      <c r="K54" s="214"/>
      <c r="L54" s="214"/>
      <c r="M54" s="214"/>
      <c r="N54" s="214"/>
      <c r="O54" s="214"/>
      <c r="P54" s="214"/>
      <c r="Q54" s="214"/>
      <c r="R54" s="214"/>
      <c r="S54" s="214"/>
    </row>
    <row r="55" spans="1:26">
      <c r="A55" s="78"/>
      <c r="B55" s="78"/>
      <c r="C55" s="78"/>
      <c r="D55" s="78"/>
      <c r="E55" s="78"/>
      <c r="F55" s="78"/>
      <c r="G55" s="78"/>
      <c r="I55" s="78" t="str">
        <f t="shared" ref="I55:I93" ca="1" si="1">IF($S$69=0,"","F")</f>
        <v/>
      </c>
    </row>
    <row r="56" spans="1:26" ht="13.2">
      <c r="A56" s="78"/>
      <c r="B56" s="78"/>
      <c r="C56" s="78"/>
      <c r="D56" s="78"/>
      <c r="E56" s="78"/>
      <c r="F56" s="78"/>
      <c r="G56" s="78"/>
      <c r="I56" s="78" t="str">
        <f t="shared" ca="1" si="1"/>
        <v/>
      </c>
      <c r="J56" s="203" t="s">
        <v>1933</v>
      </c>
      <c r="K56" s="203"/>
      <c r="L56" s="203"/>
      <c r="M56" s="203"/>
      <c r="N56" s="203"/>
      <c r="O56" s="203"/>
      <c r="P56" s="203"/>
      <c r="Q56" s="203"/>
      <c r="R56" s="203"/>
      <c r="S56" s="203"/>
    </row>
    <row r="57" spans="1:26" ht="13.2">
      <c r="A57" s="78"/>
      <c r="B57" s="78"/>
      <c r="C57" s="78"/>
      <c r="D57" s="78"/>
      <c r="E57" s="78"/>
      <c r="F57" s="78"/>
      <c r="G57" s="78"/>
      <c r="I57" s="78" t="str">
        <f t="shared" ca="1" si="1"/>
        <v/>
      </c>
      <c r="J57" s="215" t="s">
        <v>1971</v>
      </c>
      <c r="K57" s="215"/>
      <c r="L57" s="215"/>
      <c r="M57" s="215"/>
      <c r="N57" s="215"/>
      <c r="O57" s="215"/>
      <c r="P57" s="215"/>
      <c r="Q57" s="215"/>
      <c r="R57" s="215"/>
      <c r="S57" s="215"/>
    </row>
    <row r="58" spans="1:26">
      <c r="A58" s="78"/>
      <c r="B58" s="78"/>
      <c r="C58" s="78"/>
      <c r="D58" s="78"/>
      <c r="E58" s="78"/>
      <c r="F58" s="78"/>
      <c r="G58" s="78"/>
      <c r="I58" s="78" t="str">
        <f t="shared" ca="1" si="1"/>
        <v/>
      </c>
    </row>
    <row r="59" spans="1:26" ht="12.75" customHeight="1">
      <c r="A59" s="78"/>
      <c r="B59" s="78"/>
      <c r="C59" s="78"/>
      <c r="D59" s="78"/>
      <c r="E59" s="78"/>
      <c r="F59" s="78"/>
      <c r="G59" s="78"/>
      <c r="I59" s="78" t="str">
        <f t="shared" ca="1" si="1"/>
        <v/>
      </c>
      <c r="J59" s="216" t="s">
        <v>1934</v>
      </c>
      <c r="K59" s="216"/>
      <c r="L59" s="216"/>
      <c r="M59" s="216"/>
      <c r="N59" s="216"/>
      <c r="O59" s="216"/>
      <c r="P59" s="216"/>
      <c r="Q59" s="216"/>
      <c r="R59" s="216" t="s">
        <v>1935</v>
      </c>
      <c r="S59" s="217" t="s">
        <v>1936</v>
      </c>
      <c r="U59" s="217" t="s">
        <v>1937</v>
      </c>
      <c r="V59" s="217"/>
      <c r="W59" s="217"/>
      <c r="X59" s="211" t="s">
        <v>1938</v>
      </c>
      <c r="Y59" s="211" t="s">
        <v>1939</v>
      </c>
      <c r="Z59" s="211" t="s">
        <v>1940</v>
      </c>
    </row>
    <row r="60" spans="1:26" ht="12.75" customHeight="1">
      <c r="A60" s="78"/>
      <c r="B60" s="78"/>
      <c r="C60" s="78"/>
      <c r="D60" s="78"/>
      <c r="E60" s="78"/>
      <c r="F60" s="78"/>
      <c r="G60" s="78"/>
      <c r="I60" s="78" t="str">
        <f t="shared" ca="1" si="1"/>
        <v/>
      </c>
      <c r="J60" s="216"/>
      <c r="K60" s="216"/>
      <c r="L60" s="216"/>
      <c r="M60" s="216"/>
      <c r="N60" s="216"/>
      <c r="O60" s="216"/>
      <c r="P60" s="216"/>
      <c r="Q60" s="216"/>
      <c r="R60" s="216"/>
      <c r="S60" s="217"/>
      <c r="U60" s="217"/>
      <c r="V60" s="217"/>
      <c r="W60" s="217"/>
      <c r="X60" s="211"/>
      <c r="Y60" s="211"/>
      <c r="Z60" s="211"/>
    </row>
    <row r="61" spans="1:26" ht="15" customHeight="1">
      <c r="A61" s="78"/>
      <c r="B61" s="78"/>
      <c r="C61" s="78"/>
      <c r="D61" s="78"/>
      <c r="E61" s="78"/>
      <c r="F61" s="78"/>
      <c r="G61" s="78"/>
      <c r="I61" s="78" t="str">
        <f t="shared" ca="1" si="1"/>
        <v/>
      </c>
      <c r="J61" s="212" t="str">
        <f>IF($J$17=$A$146,"Encargos Sociais incidentes sobre a mão de obra","Administração Central")</f>
        <v>Administração Central</v>
      </c>
      <c r="K61" s="212"/>
      <c r="L61" s="212"/>
      <c r="M61" s="212"/>
      <c r="N61" s="212"/>
      <c r="O61" s="212"/>
      <c r="P61" s="212"/>
      <c r="Q61" s="212"/>
      <c r="R61" s="86" t="str">
        <f>IF($J57=$A$146,"K1","AC")</f>
        <v>AC</v>
      </c>
      <c r="S61" s="87"/>
      <c r="U61" s="213" t="s">
        <v>1942</v>
      </c>
      <c r="V61" s="213"/>
      <c r="W61" s="213"/>
      <c r="X61" s="88" t="e">
        <f>VLOOKUP(CONCATENATE(J57,"-",R61),$C$2:$G$136,3,FALSE)</f>
        <v>#N/A</v>
      </c>
      <c r="Y61" s="88" t="e">
        <f>VLOOKUP(CONCATENATE(J57,"-",R61),$C$2:$G$136,4,FALSE)</f>
        <v>#N/A</v>
      </c>
      <c r="Z61" s="88" t="e">
        <f>VLOOKUP(CONCATENATE(J57,"-",R61),$C$2:$G$136,5,FALSE)</f>
        <v>#N/A</v>
      </c>
    </row>
    <row r="62" spans="1:26" ht="15" customHeight="1">
      <c r="A62" s="78"/>
      <c r="B62" s="78"/>
      <c r="C62" s="78"/>
      <c r="D62" s="78"/>
      <c r="E62" s="78"/>
      <c r="F62" s="78"/>
      <c r="G62" s="78"/>
      <c r="I62" s="78" t="str">
        <f t="shared" ca="1" si="1"/>
        <v/>
      </c>
      <c r="J62" s="212" t="str">
        <f>IF($J$17=$A$146,"Administração Central da empresa ou consultoria - overhead","Seguro e Garantia")</f>
        <v>Seguro e Garantia</v>
      </c>
      <c r="K62" s="212"/>
      <c r="L62" s="212"/>
      <c r="M62" s="212"/>
      <c r="N62" s="212"/>
      <c r="O62" s="212"/>
      <c r="P62" s="212"/>
      <c r="Q62" s="212"/>
      <c r="R62" s="86" t="str">
        <f>IF($J57=$A$146,"K2","SG")</f>
        <v>SG</v>
      </c>
      <c r="S62" s="87"/>
      <c r="U62" s="213" t="s">
        <v>1942</v>
      </c>
      <c r="V62" s="213"/>
      <c r="W62" s="213"/>
      <c r="X62" s="88" t="e">
        <f>VLOOKUP(CONCATENATE(J57,"-",R62),$C$2:$G$136,3,FALSE)</f>
        <v>#N/A</v>
      </c>
      <c r="Y62" s="88" t="e">
        <f>VLOOKUP(CONCATENATE(J57,"-",R62),$C$2:$G$136,4,FALSE)</f>
        <v>#N/A</v>
      </c>
      <c r="Z62" s="88" t="e">
        <f>VLOOKUP(CONCATENATE(J57,"-",R62),$C$2:$G$136,5,FALSE)</f>
        <v>#N/A</v>
      </c>
    </row>
    <row r="63" spans="1:26" ht="15" customHeight="1">
      <c r="A63" s="78"/>
      <c r="B63" s="78"/>
      <c r="C63" s="78"/>
      <c r="D63" s="78"/>
      <c r="E63" s="78"/>
      <c r="F63" s="78"/>
      <c r="G63" s="78"/>
      <c r="I63" s="78" t="str">
        <f t="shared" ca="1" si="1"/>
        <v/>
      </c>
      <c r="J63" s="212" t="str">
        <f>IF($J$17=$A$146,"","Risco")</f>
        <v>Risco</v>
      </c>
      <c r="K63" s="212"/>
      <c r="L63" s="212"/>
      <c r="M63" s="212"/>
      <c r="N63" s="212"/>
      <c r="O63" s="212"/>
      <c r="P63" s="212"/>
      <c r="Q63" s="212"/>
      <c r="R63" s="86" t="str">
        <f>IF($J57=$A$146,"","R")</f>
        <v>R</v>
      </c>
      <c r="S63" s="87"/>
      <c r="U63" s="213" t="s">
        <v>1942</v>
      </c>
      <c r="V63" s="213"/>
      <c r="W63" s="213"/>
      <c r="X63" s="88" t="e">
        <f>VLOOKUP(CONCATENATE(J57,"-",R63),$C$2:$G$136,3,FALSE)</f>
        <v>#N/A</v>
      </c>
      <c r="Y63" s="88" t="e">
        <f>VLOOKUP(CONCATENATE(J57,"-",R63),$C$2:$G$136,4,FALSE)</f>
        <v>#N/A</v>
      </c>
      <c r="Z63" s="88" t="e">
        <f>VLOOKUP(CONCATENATE(J57,"-",R63),$C$2:$G$136,5,FALSE)</f>
        <v>#N/A</v>
      </c>
    </row>
    <row r="64" spans="1:26" ht="15" customHeight="1">
      <c r="A64" s="78"/>
      <c r="B64" s="78"/>
      <c r="C64" s="78"/>
      <c r="D64" s="78"/>
      <c r="E64" s="78"/>
      <c r="F64" s="78"/>
      <c r="G64" s="78"/>
      <c r="I64" s="78" t="str">
        <f t="shared" ca="1" si="1"/>
        <v/>
      </c>
      <c r="J64" s="212" t="str">
        <f>IF($J$17=$A$146,"","Despesas Financeiras")</f>
        <v>Despesas Financeiras</v>
      </c>
      <c r="K64" s="212"/>
      <c r="L64" s="212"/>
      <c r="M64" s="212"/>
      <c r="N64" s="212"/>
      <c r="O64" s="212"/>
      <c r="P64" s="212"/>
      <c r="Q64" s="212"/>
      <c r="R64" s="86" t="str">
        <f>IF($J57=$A$146,"","DF")</f>
        <v>DF</v>
      </c>
      <c r="S64" s="87"/>
      <c r="U64" s="213" t="s">
        <v>1942</v>
      </c>
      <c r="V64" s="213"/>
      <c r="W64" s="213"/>
      <c r="X64" s="88" t="e">
        <f>VLOOKUP(CONCATENATE(J57,"-",R64),$C$2:$G$136,3,FALSE)</f>
        <v>#N/A</v>
      </c>
      <c r="Y64" s="88" t="e">
        <f>VLOOKUP(CONCATENATE(J57,"-",R64),$C$2:$G$136,4,FALSE)</f>
        <v>#N/A</v>
      </c>
      <c r="Z64" s="88" t="e">
        <f>VLOOKUP(CONCATENATE(J57,"-",R64),$C$2:$G$136,5,FALSE)</f>
        <v>#N/A</v>
      </c>
    </row>
    <row r="65" spans="1:26" ht="15" customHeight="1">
      <c r="A65" s="78"/>
      <c r="B65" s="78"/>
      <c r="C65" s="78"/>
      <c r="D65" s="78"/>
      <c r="E65" s="78"/>
      <c r="F65" s="78"/>
      <c r="G65" s="78"/>
      <c r="I65" s="78" t="str">
        <f t="shared" ca="1" si="1"/>
        <v/>
      </c>
      <c r="J65" s="212" t="str">
        <f>IF($J$17=$A$146,"Margem bruta da empresa de consultoria","Lucro")</f>
        <v>Lucro</v>
      </c>
      <c r="K65" s="212"/>
      <c r="L65" s="212"/>
      <c r="M65" s="212"/>
      <c r="N65" s="212"/>
      <c r="O65" s="212"/>
      <c r="P65" s="212"/>
      <c r="Q65" s="212"/>
      <c r="R65" s="86" t="str">
        <f>IF($J57=$A$146,"K3","L")</f>
        <v>L</v>
      </c>
      <c r="S65" s="87"/>
      <c r="U65" s="213" t="s">
        <v>1942</v>
      </c>
      <c r="V65" s="213"/>
      <c r="W65" s="213"/>
      <c r="X65" s="88" t="e">
        <f>VLOOKUP(CONCATENATE(J57,"-",R65),$C$2:$G$136,3,FALSE)</f>
        <v>#N/A</v>
      </c>
      <c r="Y65" s="88" t="e">
        <f>VLOOKUP(CONCATENATE(J57,"-",R65),$C$2:$G$136,4,FALSE)</f>
        <v>#N/A</v>
      </c>
      <c r="Z65" s="88" t="e">
        <f>VLOOKUP(CONCATENATE(J57,"-",R65),$C$2:$G$136,5,FALSE)</f>
        <v>#N/A</v>
      </c>
    </row>
    <row r="66" spans="1:26" ht="15" customHeight="1">
      <c r="A66" s="78"/>
      <c r="B66" s="78"/>
      <c r="C66" s="78"/>
      <c r="D66" s="78"/>
      <c r="E66" s="78"/>
      <c r="F66" s="78"/>
      <c r="G66" s="78"/>
      <c r="I66" s="78" t="str">
        <f t="shared" ca="1" si="1"/>
        <v/>
      </c>
      <c r="J66" s="212" t="s">
        <v>1944</v>
      </c>
      <c r="K66" s="212"/>
      <c r="L66" s="212"/>
      <c r="M66" s="212"/>
      <c r="N66" s="212"/>
      <c r="O66" s="212"/>
      <c r="P66" s="212"/>
      <c r="Q66" s="212"/>
      <c r="R66" s="86" t="s">
        <v>1945</v>
      </c>
      <c r="S66" s="87"/>
      <c r="U66" s="213" t="s">
        <v>1942</v>
      </c>
      <c r="V66" s="213"/>
      <c r="W66" s="213"/>
      <c r="X66" s="88">
        <v>3.6499999999999998E-2</v>
      </c>
      <c r="Y66" s="88">
        <v>3.6499999999999998E-2</v>
      </c>
      <c r="Z66" s="88">
        <v>3.6499999999999998E-2</v>
      </c>
    </row>
    <row r="67" spans="1:26" ht="15" customHeight="1">
      <c r="A67" s="78"/>
      <c r="B67" s="78"/>
      <c r="C67" s="78"/>
      <c r="D67" s="78"/>
      <c r="E67" s="78"/>
      <c r="F67" s="78"/>
      <c r="G67" s="78"/>
      <c r="I67" s="78" t="str">
        <f t="shared" ca="1" si="1"/>
        <v/>
      </c>
      <c r="J67" s="212" t="s">
        <v>1946</v>
      </c>
      <c r="K67" s="212"/>
      <c r="L67" s="212"/>
      <c r="M67" s="212"/>
      <c r="N67" s="212"/>
      <c r="O67" s="212"/>
      <c r="P67" s="212"/>
      <c r="Q67" s="212"/>
      <c r="R67" s="86" t="s">
        <v>1947</v>
      </c>
      <c r="S67" s="88">
        <f ca="1">IF(AND($J57&lt;&gt;$A$145,COUNTA(OFFSET(S60,1,0,6))&gt;0),$R$11*$R$10,0)</f>
        <v>0</v>
      </c>
      <c r="U67" s="213" t="s">
        <v>1942</v>
      </c>
      <c r="V67" s="213"/>
      <c r="W67" s="213"/>
      <c r="X67" s="88">
        <v>0</v>
      </c>
      <c r="Y67" s="88">
        <v>2.5000000000000001E-2</v>
      </c>
      <c r="Z67" s="88">
        <v>0.05</v>
      </c>
    </row>
    <row r="68" spans="1:26" ht="15" customHeight="1">
      <c r="A68" s="78"/>
      <c r="B68" s="78"/>
      <c r="C68" s="78"/>
      <c r="D68" s="78"/>
      <c r="E68" s="78"/>
      <c r="F68" s="78"/>
      <c r="G68" s="78"/>
      <c r="I68" s="78" t="str">
        <f t="shared" ca="1" si="1"/>
        <v/>
      </c>
      <c r="J68" s="212" t="s">
        <v>1948</v>
      </c>
      <c r="K68" s="212"/>
      <c r="L68" s="212"/>
      <c r="M68" s="212"/>
      <c r="N68" s="212"/>
      <c r="O68" s="212"/>
      <c r="P68" s="212"/>
      <c r="Q68" s="212"/>
      <c r="R68" s="86" t="s">
        <v>1949</v>
      </c>
      <c r="S68" s="88">
        <f ca="1">IF(BDI.Opcao&lt;&gt;"Desonerado",0,IF(AND($J57&lt;&gt;$A$145,COUNTA(OFFSET(S60,1,0,6))&gt;0),4.5%,0%))</f>
        <v>0</v>
      </c>
      <c r="U68" s="213" t="s">
        <v>1942</v>
      </c>
      <c r="V68" s="213"/>
      <c r="W68" s="213"/>
      <c r="X68" s="89">
        <v>0</v>
      </c>
      <c r="Y68" s="89">
        <v>4.4999999999999998E-2</v>
      </c>
      <c r="Z68" s="89">
        <v>4.4999999999999998E-2</v>
      </c>
    </row>
    <row r="69" spans="1:26" ht="15" customHeight="1">
      <c r="A69" s="78"/>
      <c r="B69" s="78"/>
      <c r="C69" s="78"/>
      <c r="D69" s="78"/>
      <c r="E69" s="78"/>
      <c r="F69" s="78"/>
      <c r="G69" s="78"/>
      <c r="I69" s="78" t="str">
        <f t="shared" ca="1" si="1"/>
        <v/>
      </c>
      <c r="J69" s="212" t="s">
        <v>1950</v>
      </c>
      <c r="K69" s="212"/>
      <c r="L69" s="212"/>
      <c r="M69" s="212"/>
      <c r="N69" s="212"/>
      <c r="O69" s="212"/>
      <c r="P69" s="212"/>
      <c r="Q69" s="212"/>
      <c r="R69" s="90" t="s">
        <v>1924</v>
      </c>
      <c r="S69" s="88">
        <f ca="1">IF($J57=$A$145,0,ROUND((((1+S61+S62+S63)*(1+S64)*(1+S65)/(1-(S66+S67)))-1),4))</f>
        <v>0</v>
      </c>
      <c r="U69" s="217" t="e">
        <f ca="1">IF(OR($J$17=$A$146,$J$17=$A$145,AND(S69&gt;=X69,S69&lt;=Z69)),"OK","FORA DO INTERVALO")</f>
        <v>#N/A</v>
      </c>
      <c r="V69" s="217"/>
      <c r="W69" s="217"/>
      <c r="X69" s="88" t="e">
        <f>IF($J57=$A$145,0,VLOOKUP(CONCATENATE($J57,"-",$R69),$C$2:$G$136,3,FALSE))</f>
        <v>#N/A</v>
      </c>
      <c r="Y69" s="88" t="e">
        <f>IF($J57=$A$145,0,VLOOKUP(CONCATENATE($J57,"-",$R69),$C$2:$G$136,4,FALSE))</f>
        <v>#N/A</v>
      </c>
      <c r="Z69" s="88" t="e">
        <f>IF($J57=$A$145,0,VLOOKUP(CONCATENATE($J57,"-",$R69),$C$2:$G$136,5,FALSE))</f>
        <v>#N/A</v>
      </c>
    </row>
    <row r="70" spans="1:26" ht="15" customHeight="1">
      <c r="A70" s="78"/>
      <c r="B70" s="78"/>
      <c r="C70" s="78"/>
      <c r="D70" s="78"/>
      <c r="E70" s="78"/>
      <c r="F70" s="78"/>
      <c r="G70" s="78"/>
      <c r="I70" s="78" t="str">
        <f t="shared" ca="1" si="1"/>
        <v/>
      </c>
      <c r="J70" s="218" t="s">
        <v>1951</v>
      </c>
      <c r="K70" s="218"/>
      <c r="L70" s="218"/>
      <c r="M70" s="218"/>
      <c r="N70" s="218"/>
      <c r="O70" s="218"/>
      <c r="P70" s="218"/>
      <c r="Q70" s="218"/>
      <c r="R70" s="91" t="s">
        <v>1952</v>
      </c>
      <c r="S70" s="92">
        <f ca="1">IF($J57=$A$145,0,ROUND((((1+S61+S62+S63)*(1+S64)*(1+S65)/(1-(S66+S67+S68)))-1),4))</f>
        <v>0</v>
      </c>
    </row>
    <row r="71" spans="1:26" ht="25.5" customHeight="1">
      <c r="A71" s="78"/>
      <c r="B71" s="78"/>
      <c r="C71" s="78"/>
      <c r="D71" s="78"/>
      <c r="E71" s="78"/>
      <c r="F71" s="78"/>
      <c r="G71" s="78"/>
      <c r="I71" s="78" t="str">
        <f t="shared" ca="1" si="1"/>
        <v/>
      </c>
    </row>
    <row r="72" spans="1:26" ht="15.6">
      <c r="A72" s="78"/>
      <c r="B72" s="78"/>
      <c r="C72" s="78"/>
      <c r="D72" s="78"/>
      <c r="E72" s="78"/>
      <c r="F72" s="78"/>
      <c r="G72" s="78"/>
      <c r="I72" s="78" t="str">
        <f t="shared" ca="1" si="1"/>
        <v/>
      </c>
      <c r="J72" s="93" t="e">
        <f ca="1">IF(U69&lt;&gt;"ok","X","")</f>
        <v>#N/A</v>
      </c>
      <c r="K72" s="219" t="e">
        <f ca="1">IF(U69&lt;&gt;"ok","Anexo: Relatório Técnico Circunstanciado justificando a adoção do percentual de cada parcela do BDI.","")</f>
        <v>#N/A</v>
      </c>
      <c r="L72" s="219"/>
      <c r="M72" s="219"/>
      <c r="N72" s="219"/>
      <c r="O72" s="219"/>
      <c r="P72" s="219"/>
      <c r="Q72" s="219"/>
      <c r="R72" s="219"/>
      <c r="S72" s="219"/>
    </row>
    <row r="73" spans="1:26">
      <c r="A73" s="78"/>
      <c r="B73" s="78"/>
      <c r="C73" s="78"/>
      <c r="D73" s="78"/>
      <c r="E73" s="78"/>
      <c r="F73" s="78"/>
      <c r="G73" s="78"/>
      <c r="I73" s="78" t="str">
        <f t="shared" ca="1" si="1"/>
        <v/>
      </c>
    </row>
    <row r="74" spans="1:26">
      <c r="A74" s="78"/>
      <c r="B74" s="78"/>
      <c r="C74" s="78"/>
      <c r="D74" s="78"/>
      <c r="E74" s="78"/>
      <c r="F74" s="78"/>
      <c r="G74" s="78"/>
      <c r="I74" s="78" t="str">
        <f t="shared" ca="1" si="1"/>
        <v/>
      </c>
      <c r="J74" s="226" t="s">
        <v>1954</v>
      </c>
      <c r="K74" s="226"/>
      <c r="L74" s="226"/>
      <c r="M74" s="226"/>
      <c r="N74" s="226"/>
      <c r="O74" s="226"/>
      <c r="P74" s="226"/>
      <c r="Q74" s="226"/>
      <c r="R74" s="226"/>
      <c r="S74" s="226"/>
    </row>
    <row r="75" spans="1:26" ht="15.6">
      <c r="A75" s="78"/>
      <c r="B75" s="78"/>
      <c r="C75" s="78"/>
      <c r="D75" s="78"/>
      <c r="E75" s="78"/>
      <c r="F75" s="78"/>
      <c r="G75" s="78"/>
      <c r="I75" s="78" t="str">
        <f t="shared" ca="1" si="1"/>
        <v/>
      </c>
      <c r="J75" s="94"/>
      <c r="K75" s="94"/>
      <c r="L75" s="94"/>
      <c r="M75" s="227" t="s">
        <v>1955</v>
      </c>
      <c r="N75" s="228" t="str">
        <f>IF($J57=$A$146,"(1+K1+K2)*(1+K3)","(1+AC + S + R + G)*(1 + DF)*(1+L)")</f>
        <v>(1+AC + S + R + G)*(1 + DF)*(1+L)</v>
      </c>
      <c r="O75" s="228"/>
      <c r="P75" s="228"/>
      <c r="Q75" s="229" t="s">
        <v>1956</v>
      </c>
      <c r="R75" s="94"/>
      <c r="S75" s="94"/>
    </row>
    <row r="76" spans="1:26" ht="15.6">
      <c r="A76" s="78"/>
      <c r="B76" s="78"/>
      <c r="C76" s="78"/>
      <c r="D76" s="78"/>
      <c r="E76" s="78"/>
      <c r="F76" s="78"/>
      <c r="G76" s="78"/>
      <c r="I76" s="78" t="str">
        <f t="shared" ca="1" si="1"/>
        <v/>
      </c>
      <c r="J76" s="94"/>
      <c r="K76" s="94"/>
      <c r="L76" s="94"/>
      <c r="M76" s="227"/>
      <c r="N76" s="230" t="s">
        <v>1957</v>
      </c>
      <c r="O76" s="230"/>
      <c r="P76" s="230"/>
      <c r="Q76" s="229"/>
      <c r="R76" s="94"/>
      <c r="S76" s="94"/>
    </row>
    <row r="77" spans="1:26" ht="15" customHeight="1">
      <c r="A77" s="78"/>
      <c r="B77" s="78"/>
      <c r="C77" s="78"/>
      <c r="D77" s="78"/>
      <c r="E77" s="78"/>
      <c r="F77" s="78"/>
      <c r="G77" s="78"/>
      <c r="I77" s="78" t="str">
        <f t="shared" ca="1" si="1"/>
        <v/>
      </c>
      <c r="J77" s="94"/>
      <c r="K77" s="94"/>
      <c r="L77" s="94"/>
      <c r="M77" s="95"/>
      <c r="N77" s="97"/>
      <c r="O77" s="97"/>
      <c r="P77" s="97"/>
      <c r="Q77" s="96"/>
      <c r="R77" s="94"/>
      <c r="S77" s="94"/>
    </row>
    <row r="78" spans="1:26" ht="50.1" customHeight="1">
      <c r="A78" s="78"/>
      <c r="B78" s="78"/>
      <c r="C78" s="78"/>
      <c r="D78" s="78"/>
      <c r="E78" s="78"/>
      <c r="F78" s="78"/>
      <c r="G78" s="78"/>
      <c r="I78" s="78" t="str">
        <f t="shared" ca="1" si="1"/>
        <v/>
      </c>
      <c r="J78" s="22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5%.</v>
      </c>
      <c r="K78" s="220"/>
      <c r="L78" s="220"/>
      <c r="M78" s="220"/>
      <c r="N78" s="220"/>
      <c r="O78" s="220"/>
      <c r="P78" s="220"/>
      <c r="Q78" s="220"/>
      <c r="R78" s="220"/>
      <c r="S78" s="220"/>
    </row>
    <row r="79" spans="1:26">
      <c r="A79" s="78"/>
      <c r="B79" s="78"/>
      <c r="C79" s="78"/>
      <c r="D79" s="78"/>
      <c r="E79" s="78"/>
      <c r="F79" s="78"/>
      <c r="G79" s="78"/>
      <c r="I79" s="78" t="str">
        <f t="shared" ca="1" si="1"/>
        <v/>
      </c>
    </row>
    <row r="80" spans="1:26" ht="50.1" customHeight="1">
      <c r="A80" s="78"/>
      <c r="B80" s="78"/>
      <c r="C80" s="78"/>
      <c r="D80" s="78"/>
      <c r="E80" s="78"/>
      <c r="F80" s="78"/>
      <c r="G80" s="78"/>
      <c r="I80" s="78" t="str">
        <f t="shared" ca="1" si="1"/>
        <v/>
      </c>
      <c r="J80" s="220" t="e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#VALUE!</v>
      </c>
      <c r="K80" s="220"/>
      <c r="L80" s="220"/>
      <c r="M80" s="220"/>
      <c r="N80" s="220"/>
      <c r="O80" s="220"/>
      <c r="P80" s="220"/>
      <c r="Q80" s="220"/>
      <c r="R80" s="220"/>
      <c r="S80" s="220"/>
    </row>
    <row r="81" spans="1:19">
      <c r="A81" s="78"/>
      <c r="B81" s="78"/>
      <c r="C81" s="78"/>
      <c r="D81" s="78"/>
      <c r="E81" s="78"/>
      <c r="F81" s="78"/>
      <c r="G81" s="78"/>
      <c r="I81" s="78" t="str">
        <f t="shared" ca="1" si="1"/>
        <v/>
      </c>
    </row>
    <row r="82" spans="1:19">
      <c r="A82" s="78"/>
      <c r="B82" s="78"/>
      <c r="C82" s="78"/>
      <c r="D82" s="78"/>
      <c r="E82" s="78"/>
      <c r="F82" s="78"/>
      <c r="G82" s="78"/>
      <c r="I82" s="78" t="str">
        <f t="shared" ca="1" si="1"/>
        <v/>
      </c>
      <c r="J82" s="76" t="s">
        <v>1959</v>
      </c>
    </row>
    <row r="83" spans="1:19" ht="99.9" customHeight="1">
      <c r="A83" s="78"/>
      <c r="B83" s="78"/>
      <c r="C83" s="78"/>
      <c r="D83" s="78"/>
      <c r="E83" s="78"/>
      <c r="F83" s="78"/>
      <c r="G83" s="78"/>
      <c r="I83" s="78" t="str">
        <f t="shared" ca="1" si="1"/>
        <v/>
      </c>
      <c r="J83" s="221"/>
      <c r="K83" s="221"/>
      <c r="L83" s="221"/>
      <c r="M83" s="221"/>
      <c r="N83" s="221"/>
      <c r="O83" s="221"/>
      <c r="P83" s="221"/>
      <c r="Q83" s="221"/>
      <c r="R83" s="221"/>
      <c r="S83" s="221"/>
    </row>
    <row r="84" spans="1:19">
      <c r="A84" s="78"/>
      <c r="B84" s="78"/>
      <c r="C84" s="78"/>
      <c r="D84" s="78"/>
      <c r="E84" s="78"/>
      <c r="F84" s="78"/>
      <c r="G84" s="78"/>
      <c r="I84" s="78" t="str">
        <f t="shared" ca="1" si="1"/>
        <v/>
      </c>
    </row>
    <row r="85" spans="1:19">
      <c r="A85" s="78"/>
      <c r="B85" s="78"/>
      <c r="C85" s="78"/>
      <c r="D85" s="78"/>
      <c r="E85" s="78"/>
      <c r="F85" s="78"/>
      <c r="G85" s="78"/>
      <c r="I85" s="78" t="str">
        <f t="shared" ca="1" si="1"/>
        <v/>
      </c>
      <c r="J85" s="222" t="str">
        <f>Import.Município</f>
        <v>São João Das Missões - MG</v>
      </c>
      <c r="K85" s="222"/>
      <c r="L85" s="222"/>
      <c r="M85" s="222"/>
      <c r="P85" s="223">
        <f>[1]DADOS!$F$25</f>
        <v>45691</v>
      </c>
      <c r="Q85" s="223"/>
      <c r="R85" s="223"/>
      <c r="S85" s="223"/>
    </row>
    <row r="86" spans="1:19">
      <c r="A86" s="78"/>
      <c r="B86" s="78"/>
      <c r="C86" s="78"/>
      <c r="D86" s="78"/>
      <c r="E86" s="78"/>
      <c r="F86" s="78"/>
      <c r="G86" s="78"/>
      <c r="I86" s="78" t="str">
        <f t="shared" ca="1" si="1"/>
        <v/>
      </c>
      <c r="J86" s="224" t="s">
        <v>1963</v>
      </c>
      <c r="K86" s="224"/>
      <c r="L86" s="224"/>
      <c r="M86" s="224"/>
      <c r="O86" s="99"/>
      <c r="P86" s="100" t="s">
        <v>1964</v>
      </c>
      <c r="Q86" s="101"/>
      <c r="R86" s="101"/>
      <c r="S86" s="101"/>
    </row>
    <row r="87" spans="1:19" ht="30" customHeight="1">
      <c r="A87" s="78"/>
      <c r="B87" s="78"/>
      <c r="C87" s="78"/>
      <c r="D87" s="78"/>
      <c r="E87" s="78"/>
      <c r="F87" s="78"/>
      <c r="G87" s="78"/>
      <c r="I87" s="78" t="str">
        <f t="shared" ca="1" si="1"/>
        <v/>
      </c>
    </row>
    <row r="88" spans="1:19">
      <c r="A88" s="78"/>
      <c r="B88" s="78"/>
      <c r="C88" s="78"/>
      <c r="D88" s="78"/>
      <c r="E88" s="78"/>
      <c r="F88" s="78"/>
      <c r="G88" s="78"/>
      <c r="I88" s="78" t="str">
        <f t="shared" ca="1" si="1"/>
        <v/>
      </c>
      <c r="J88" s="225"/>
      <c r="K88" s="225"/>
      <c r="L88" s="225"/>
      <c r="M88" s="225"/>
      <c r="N88" s="102"/>
    </row>
    <row r="89" spans="1:19">
      <c r="A89" s="78"/>
      <c r="B89" s="78"/>
      <c r="C89" s="78"/>
      <c r="D89" s="78"/>
      <c r="E89" s="78"/>
      <c r="F89" s="78"/>
      <c r="G89" s="78"/>
      <c r="I89" s="78" t="str">
        <f t="shared" ca="1" si="1"/>
        <v/>
      </c>
      <c r="J89" s="231" t="s">
        <v>1966</v>
      </c>
      <c r="K89" s="231"/>
      <c r="L89" s="231"/>
      <c r="M89" s="231"/>
    </row>
    <row r="90" spans="1:19">
      <c r="A90" s="78"/>
      <c r="B90" s="78"/>
      <c r="C90" s="78"/>
      <c r="D90" s="78"/>
      <c r="E90" s="78"/>
      <c r="F90" s="78"/>
      <c r="G90" s="78"/>
      <c r="I90" s="78" t="str">
        <f t="shared" ca="1" si="1"/>
        <v/>
      </c>
      <c r="J90" s="103" t="s">
        <v>1967</v>
      </c>
      <c r="K90" s="104" t="str">
        <f t="array" ref="K90:K92">Import.RespOrçamento</f>
        <v>Gerrard Tayon Ferreira Lopo</v>
      </c>
      <c r="L90" s="105"/>
      <c r="M90" s="105"/>
      <c r="N90" s="102"/>
    </row>
    <row r="91" spans="1:19">
      <c r="A91" s="78"/>
      <c r="B91" s="78"/>
      <c r="C91" s="78"/>
      <c r="D91" s="78"/>
      <c r="E91" s="78"/>
      <c r="F91" s="78"/>
      <c r="G91" s="78"/>
      <c r="I91" s="78" t="str">
        <f t="shared" ca="1" si="1"/>
        <v/>
      </c>
      <c r="J91" s="103" t="s">
        <v>1968</v>
      </c>
      <c r="K91" s="104" t="str">
        <v>289963 MG</v>
      </c>
      <c r="L91" s="105"/>
      <c r="M91" s="105"/>
      <c r="N91" s="102"/>
    </row>
    <row r="92" spans="1:19">
      <c r="A92" s="78"/>
      <c r="B92" s="78"/>
      <c r="C92" s="78"/>
      <c r="D92" s="78"/>
      <c r="E92" s="78"/>
      <c r="F92" s="78"/>
      <c r="G92" s="78"/>
      <c r="I92" s="78" t="str">
        <f t="shared" ca="1" si="1"/>
        <v/>
      </c>
      <c r="J92" s="103" t="s">
        <v>1969</v>
      </c>
      <c r="K92" s="104">
        <v>0</v>
      </c>
      <c r="L92" s="105"/>
      <c r="M92" s="105"/>
      <c r="N92" s="102"/>
    </row>
    <row r="93" spans="1:19">
      <c r="A93" s="78"/>
      <c r="B93" s="78"/>
      <c r="C93" s="78"/>
      <c r="D93" s="78"/>
      <c r="E93" s="78"/>
      <c r="F93" s="78"/>
      <c r="G93" s="78"/>
      <c r="I93" s="78" t="str">
        <f t="shared" ca="1" si="1"/>
        <v/>
      </c>
      <c r="J93" s="103"/>
      <c r="K93" s="106"/>
      <c r="L93" s="105"/>
      <c r="M93" s="105"/>
      <c r="N93" s="102"/>
    </row>
    <row r="94" spans="1:19" ht="15.6">
      <c r="A94" s="78"/>
      <c r="B94" s="78"/>
      <c r="C94" s="78"/>
      <c r="D94" s="78"/>
      <c r="E94" s="78"/>
      <c r="F94" s="78"/>
      <c r="G94" s="78"/>
      <c r="I94" s="78" t="str">
        <f ca="1">IF($S$109=0,"","F")</f>
        <v/>
      </c>
      <c r="J94" s="214" t="s">
        <v>1972</v>
      </c>
      <c r="K94" s="214"/>
      <c r="L94" s="214"/>
      <c r="M94" s="214"/>
      <c r="N94" s="214"/>
      <c r="O94" s="214"/>
      <c r="P94" s="214"/>
      <c r="Q94" s="214"/>
      <c r="R94" s="214"/>
      <c r="S94" s="214"/>
    </row>
    <row r="95" spans="1:19">
      <c r="A95" s="78"/>
      <c r="B95" s="78"/>
      <c r="C95" s="78"/>
      <c r="D95" s="78"/>
      <c r="E95" s="78"/>
      <c r="F95" s="78"/>
      <c r="G95" s="78"/>
      <c r="I95" s="78" t="str">
        <f t="shared" ref="I95:I132" ca="1" si="2">IF($S$109=0,"","F")</f>
        <v/>
      </c>
    </row>
    <row r="96" spans="1:19" ht="13.2">
      <c r="A96" s="78"/>
      <c r="B96" s="78"/>
      <c r="C96" s="78"/>
      <c r="D96" s="78"/>
      <c r="E96" s="78"/>
      <c r="F96" s="78"/>
      <c r="G96" s="78"/>
      <c r="I96" s="78" t="str">
        <f t="shared" ca="1" si="2"/>
        <v/>
      </c>
      <c r="J96" s="203" t="s">
        <v>1933</v>
      </c>
      <c r="K96" s="203"/>
      <c r="L96" s="203"/>
      <c r="M96" s="203"/>
      <c r="N96" s="203"/>
      <c r="O96" s="203"/>
      <c r="P96" s="203"/>
      <c r="Q96" s="203"/>
      <c r="R96" s="203"/>
      <c r="S96" s="203"/>
    </row>
    <row r="97" spans="1:26" ht="13.2">
      <c r="A97" s="78"/>
      <c r="B97" s="78"/>
      <c r="C97" s="78"/>
      <c r="D97" s="78"/>
      <c r="E97" s="78"/>
      <c r="F97" s="78"/>
      <c r="G97" s="78"/>
      <c r="I97" s="78" t="str">
        <f t="shared" ca="1" si="2"/>
        <v/>
      </c>
      <c r="J97" s="215" t="s">
        <v>1971</v>
      </c>
      <c r="K97" s="215"/>
      <c r="L97" s="215"/>
      <c r="M97" s="215"/>
      <c r="N97" s="215"/>
      <c r="O97" s="215"/>
      <c r="P97" s="215"/>
      <c r="Q97" s="215"/>
      <c r="R97" s="215"/>
      <c r="S97" s="215"/>
    </row>
    <row r="98" spans="1:26">
      <c r="A98" s="78"/>
      <c r="B98" s="78"/>
      <c r="C98" s="78"/>
      <c r="D98" s="78"/>
      <c r="E98" s="78"/>
      <c r="F98" s="78"/>
      <c r="G98" s="78"/>
      <c r="I98" s="78" t="str">
        <f t="shared" ca="1" si="2"/>
        <v/>
      </c>
    </row>
    <row r="99" spans="1:26" ht="12.75" customHeight="1">
      <c r="A99" s="78"/>
      <c r="B99" s="78"/>
      <c r="C99" s="78"/>
      <c r="D99" s="78"/>
      <c r="E99" s="78"/>
      <c r="F99" s="78"/>
      <c r="G99" s="78"/>
      <c r="I99" s="78" t="str">
        <f t="shared" ca="1" si="2"/>
        <v/>
      </c>
      <c r="J99" s="216" t="s">
        <v>1934</v>
      </c>
      <c r="K99" s="216"/>
      <c r="L99" s="216"/>
      <c r="M99" s="216"/>
      <c r="N99" s="216"/>
      <c r="O99" s="216"/>
      <c r="P99" s="216"/>
      <c r="Q99" s="216"/>
      <c r="R99" s="216" t="s">
        <v>1935</v>
      </c>
      <c r="S99" s="217" t="s">
        <v>1936</v>
      </c>
      <c r="U99" s="217" t="s">
        <v>1937</v>
      </c>
      <c r="V99" s="217"/>
      <c r="W99" s="217"/>
      <c r="X99" s="211" t="s">
        <v>1938</v>
      </c>
      <c r="Y99" s="211" t="s">
        <v>1939</v>
      </c>
      <c r="Z99" s="211" t="s">
        <v>1940</v>
      </c>
    </row>
    <row r="100" spans="1:26" ht="12.75" customHeight="1">
      <c r="A100" s="78"/>
      <c r="B100" s="78"/>
      <c r="C100" s="78"/>
      <c r="D100" s="78"/>
      <c r="E100" s="78"/>
      <c r="F100" s="78"/>
      <c r="G100" s="78"/>
      <c r="I100" s="78" t="str">
        <f t="shared" ca="1" si="2"/>
        <v/>
      </c>
      <c r="J100" s="216"/>
      <c r="K100" s="216"/>
      <c r="L100" s="216"/>
      <c r="M100" s="216"/>
      <c r="N100" s="216"/>
      <c r="O100" s="216"/>
      <c r="P100" s="216"/>
      <c r="Q100" s="216"/>
      <c r="R100" s="216"/>
      <c r="S100" s="217"/>
      <c r="U100" s="217"/>
      <c r="V100" s="217"/>
      <c r="W100" s="217"/>
      <c r="X100" s="211"/>
      <c r="Y100" s="211"/>
      <c r="Z100" s="211"/>
    </row>
    <row r="101" spans="1:26" ht="15" customHeight="1">
      <c r="A101" s="78"/>
      <c r="B101" s="78"/>
      <c r="C101" s="78"/>
      <c r="D101" s="78"/>
      <c r="E101" s="78"/>
      <c r="F101" s="78"/>
      <c r="G101" s="78"/>
      <c r="I101" s="78" t="str">
        <f t="shared" ca="1" si="2"/>
        <v/>
      </c>
      <c r="J101" s="212" t="str">
        <f>IF($J$17=$A$146,"Encargos Sociais incidentes sobre a mão de obra","Administração Central")</f>
        <v>Administração Central</v>
      </c>
      <c r="K101" s="212"/>
      <c r="L101" s="212"/>
      <c r="M101" s="212"/>
      <c r="N101" s="212"/>
      <c r="O101" s="212"/>
      <c r="P101" s="212"/>
      <c r="Q101" s="212"/>
      <c r="R101" s="86" t="str">
        <f>IF($J97=$A$146,"K1","AC")</f>
        <v>AC</v>
      </c>
      <c r="S101" s="87"/>
      <c r="U101" s="213" t="s">
        <v>1942</v>
      </c>
      <c r="V101" s="213"/>
      <c r="W101" s="213"/>
      <c r="X101" s="88" t="e">
        <f>VLOOKUP(CONCATENATE(J97,"-",R101),$C$2:$G$136,3,FALSE)</f>
        <v>#N/A</v>
      </c>
      <c r="Y101" s="88" t="e">
        <f>VLOOKUP(CONCATENATE(J97,"-",R101),$C$2:$G$136,4,FALSE)</f>
        <v>#N/A</v>
      </c>
      <c r="Z101" s="88" t="e">
        <f>VLOOKUP(CONCATENATE(J97,"-",R101),$C$2:$G$136,5,FALSE)</f>
        <v>#N/A</v>
      </c>
    </row>
    <row r="102" spans="1:26" ht="15" customHeight="1">
      <c r="A102" s="78"/>
      <c r="B102" s="78"/>
      <c r="C102" s="78"/>
      <c r="D102" s="78"/>
      <c r="E102" s="78"/>
      <c r="F102" s="78"/>
      <c r="G102" s="78"/>
      <c r="I102" s="78" t="str">
        <f t="shared" ca="1" si="2"/>
        <v/>
      </c>
      <c r="J102" s="212" t="str">
        <f>IF($J$17=$A$146,"Administração Central da empresa ou consultoria - overhead","Seguro e Garantia")</f>
        <v>Seguro e Garantia</v>
      </c>
      <c r="K102" s="212"/>
      <c r="L102" s="212"/>
      <c r="M102" s="212"/>
      <c r="N102" s="212"/>
      <c r="O102" s="212"/>
      <c r="P102" s="212"/>
      <c r="Q102" s="212"/>
      <c r="R102" s="86" t="str">
        <f>IF($J97=$A$146,"K2","SG")</f>
        <v>SG</v>
      </c>
      <c r="S102" s="87"/>
      <c r="U102" s="213" t="s">
        <v>1942</v>
      </c>
      <c r="V102" s="213"/>
      <c r="W102" s="213"/>
      <c r="X102" s="88" t="e">
        <f>VLOOKUP(CONCATENATE(J97,"-",R102),$C$2:$G$136,3,FALSE)</f>
        <v>#N/A</v>
      </c>
      <c r="Y102" s="88" t="e">
        <f>VLOOKUP(CONCATENATE(J97,"-",R102),$C$2:$G$136,4,FALSE)</f>
        <v>#N/A</v>
      </c>
      <c r="Z102" s="88" t="e">
        <f>VLOOKUP(CONCATENATE(J97,"-",R102),$C$2:$G$136,5,FALSE)</f>
        <v>#N/A</v>
      </c>
    </row>
    <row r="103" spans="1:26" ht="15" customHeight="1">
      <c r="A103" s="78"/>
      <c r="B103" s="78"/>
      <c r="C103" s="78"/>
      <c r="D103" s="78"/>
      <c r="E103" s="78"/>
      <c r="F103" s="78"/>
      <c r="G103" s="78"/>
      <c r="I103" s="78" t="str">
        <f t="shared" ca="1" si="2"/>
        <v/>
      </c>
      <c r="J103" s="212" t="str">
        <f>IF($J$17=$A$146,"","Risco")</f>
        <v>Risco</v>
      </c>
      <c r="K103" s="212"/>
      <c r="L103" s="212"/>
      <c r="M103" s="212"/>
      <c r="N103" s="212"/>
      <c r="O103" s="212"/>
      <c r="P103" s="212"/>
      <c r="Q103" s="212"/>
      <c r="R103" s="86" t="str">
        <f>IF($J97=$A$146,"","R")</f>
        <v>R</v>
      </c>
      <c r="S103" s="87"/>
      <c r="U103" s="213" t="s">
        <v>1942</v>
      </c>
      <c r="V103" s="213"/>
      <c r="W103" s="213"/>
      <c r="X103" s="88" t="e">
        <f>VLOOKUP(CONCATENATE(J97,"-",R103),$C$2:$G$136,3,FALSE)</f>
        <v>#N/A</v>
      </c>
      <c r="Y103" s="88" t="e">
        <f>VLOOKUP(CONCATENATE(J97,"-",R103),$C$2:$G$136,4,FALSE)</f>
        <v>#N/A</v>
      </c>
      <c r="Z103" s="88" t="e">
        <f>VLOOKUP(CONCATENATE(J97,"-",R103),$C$2:$G$136,5,FALSE)</f>
        <v>#N/A</v>
      </c>
    </row>
    <row r="104" spans="1:26" ht="15" customHeight="1">
      <c r="A104" s="78"/>
      <c r="B104" s="78"/>
      <c r="C104" s="78"/>
      <c r="D104" s="78"/>
      <c r="E104" s="78"/>
      <c r="F104" s="78"/>
      <c r="G104" s="78"/>
      <c r="I104" s="78" t="str">
        <f t="shared" ca="1" si="2"/>
        <v/>
      </c>
      <c r="J104" s="212" t="str">
        <f>IF($J$17=$A$146,"","Despesas Financeiras")</f>
        <v>Despesas Financeiras</v>
      </c>
      <c r="K104" s="212"/>
      <c r="L104" s="212"/>
      <c r="M104" s="212"/>
      <c r="N104" s="212"/>
      <c r="O104" s="212"/>
      <c r="P104" s="212"/>
      <c r="Q104" s="212"/>
      <c r="R104" s="86" t="str">
        <f>IF($J97=$A$146,"","DF")</f>
        <v>DF</v>
      </c>
      <c r="S104" s="87"/>
      <c r="U104" s="213" t="s">
        <v>1942</v>
      </c>
      <c r="V104" s="213"/>
      <c r="W104" s="213"/>
      <c r="X104" s="88" t="e">
        <f>VLOOKUP(CONCATENATE(J97,"-",R104),$C$2:$G$136,3,FALSE)</f>
        <v>#N/A</v>
      </c>
      <c r="Y104" s="88" t="e">
        <f>VLOOKUP(CONCATENATE(J97,"-",R104),$C$2:$G$136,4,FALSE)</f>
        <v>#N/A</v>
      </c>
      <c r="Z104" s="88" t="e">
        <f>VLOOKUP(CONCATENATE(J97,"-",R104),$C$2:$G$136,5,FALSE)</f>
        <v>#N/A</v>
      </c>
    </row>
    <row r="105" spans="1:26" ht="15" customHeight="1">
      <c r="A105" s="78"/>
      <c r="B105" s="78"/>
      <c r="C105" s="78"/>
      <c r="D105" s="78"/>
      <c r="E105" s="78"/>
      <c r="F105" s="78"/>
      <c r="G105" s="78"/>
      <c r="I105" s="78" t="str">
        <f t="shared" ca="1" si="2"/>
        <v/>
      </c>
      <c r="J105" s="212" t="str">
        <f>IF($J$17=$A$146,"Margem bruta da empresa de consultoria","Lucro")</f>
        <v>Lucro</v>
      </c>
      <c r="K105" s="212"/>
      <c r="L105" s="212"/>
      <c r="M105" s="212"/>
      <c r="N105" s="212"/>
      <c r="O105" s="212"/>
      <c r="P105" s="212"/>
      <c r="Q105" s="212"/>
      <c r="R105" s="86" t="str">
        <f>IF($J97=$A$146,"K3","L")</f>
        <v>L</v>
      </c>
      <c r="S105" s="87"/>
      <c r="U105" s="213" t="s">
        <v>1942</v>
      </c>
      <c r="V105" s="213"/>
      <c r="W105" s="213"/>
      <c r="X105" s="88" t="e">
        <f>VLOOKUP(CONCATENATE(J97,"-",R105),$C$2:$G$136,3,FALSE)</f>
        <v>#N/A</v>
      </c>
      <c r="Y105" s="88" t="e">
        <f>VLOOKUP(CONCATENATE(J97,"-",R105),$C$2:$G$136,4,FALSE)</f>
        <v>#N/A</v>
      </c>
      <c r="Z105" s="88" t="e">
        <f>VLOOKUP(CONCATENATE(J97,"-",R105),$C$2:$G$136,5,FALSE)</f>
        <v>#N/A</v>
      </c>
    </row>
    <row r="106" spans="1:26" ht="15" customHeight="1">
      <c r="A106" s="78"/>
      <c r="B106" s="78"/>
      <c r="C106" s="78"/>
      <c r="D106" s="78"/>
      <c r="E106" s="78"/>
      <c r="F106" s="78"/>
      <c r="G106" s="78"/>
      <c r="I106" s="78" t="str">
        <f t="shared" ca="1" si="2"/>
        <v/>
      </c>
      <c r="J106" s="212" t="s">
        <v>1944</v>
      </c>
      <c r="K106" s="212"/>
      <c r="L106" s="212"/>
      <c r="M106" s="212"/>
      <c r="N106" s="212"/>
      <c r="O106" s="212"/>
      <c r="P106" s="212"/>
      <c r="Q106" s="212"/>
      <c r="R106" s="86" t="s">
        <v>1945</v>
      </c>
      <c r="S106" s="87"/>
      <c r="U106" s="213" t="s">
        <v>1942</v>
      </c>
      <c r="V106" s="213"/>
      <c r="W106" s="213"/>
      <c r="X106" s="88">
        <v>3.6499999999999998E-2</v>
      </c>
      <c r="Y106" s="88">
        <v>3.6499999999999998E-2</v>
      </c>
      <c r="Z106" s="88">
        <v>3.6499999999999998E-2</v>
      </c>
    </row>
    <row r="107" spans="1:26" ht="15" customHeight="1">
      <c r="A107" s="78"/>
      <c r="B107" s="78"/>
      <c r="C107" s="78"/>
      <c r="D107" s="78"/>
      <c r="E107" s="78"/>
      <c r="F107" s="78"/>
      <c r="G107" s="78"/>
      <c r="I107" s="78" t="str">
        <f t="shared" ca="1" si="2"/>
        <v/>
      </c>
      <c r="J107" s="212" t="s">
        <v>1946</v>
      </c>
      <c r="K107" s="212"/>
      <c r="L107" s="212"/>
      <c r="M107" s="212"/>
      <c r="N107" s="212"/>
      <c r="O107" s="212"/>
      <c r="P107" s="212"/>
      <c r="Q107" s="212"/>
      <c r="R107" s="86" t="s">
        <v>1947</v>
      </c>
      <c r="S107" s="88">
        <f ca="1">IF(AND($J97&lt;&gt;$A$145,COUNTA(OFFSET(S100,1,0,6))&gt;0),$R$11*$R$10,0)</f>
        <v>0</v>
      </c>
      <c r="U107" s="213" t="s">
        <v>1942</v>
      </c>
      <c r="V107" s="213"/>
      <c r="W107" s="213"/>
      <c r="X107" s="88">
        <v>0</v>
      </c>
      <c r="Y107" s="88">
        <v>2.5000000000000001E-2</v>
      </c>
      <c r="Z107" s="88">
        <v>0.05</v>
      </c>
    </row>
    <row r="108" spans="1:26" ht="15" customHeight="1">
      <c r="A108" s="78"/>
      <c r="B108" s="78"/>
      <c r="C108" s="78"/>
      <c r="D108" s="78"/>
      <c r="E108" s="78"/>
      <c r="F108" s="78"/>
      <c r="G108" s="78"/>
      <c r="I108" s="78" t="str">
        <f t="shared" ca="1" si="2"/>
        <v/>
      </c>
      <c r="J108" s="212" t="s">
        <v>1948</v>
      </c>
      <c r="K108" s="212"/>
      <c r="L108" s="212"/>
      <c r="M108" s="212"/>
      <c r="N108" s="212"/>
      <c r="O108" s="212"/>
      <c r="P108" s="212"/>
      <c r="Q108" s="212"/>
      <c r="R108" s="86" t="s">
        <v>1949</v>
      </c>
      <c r="S108" s="88">
        <f ca="1">IF(BDI.Opcao&lt;&gt;"Desonerado",0,IF(AND($J97&lt;&gt;$A$145,COUNTA(OFFSET(S100,1,0,6))&gt;0),4.5%,0%))</f>
        <v>0</v>
      </c>
      <c r="U108" s="213" t="s">
        <v>1942</v>
      </c>
      <c r="V108" s="213"/>
      <c r="W108" s="213"/>
      <c r="X108" s="89">
        <v>0</v>
      </c>
      <c r="Y108" s="89">
        <v>4.4999999999999998E-2</v>
      </c>
      <c r="Z108" s="89">
        <v>4.4999999999999998E-2</v>
      </c>
    </row>
    <row r="109" spans="1:26" ht="15" customHeight="1">
      <c r="A109" s="78"/>
      <c r="B109" s="78"/>
      <c r="C109" s="78"/>
      <c r="D109" s="78"/>
      <c r="E109" s="78"/>
      <c r="F109" s="78"/>
      <c r="G109" s="78"/>
      <c r="I109" s="78" t="str">
        <f t="shared" ca="1" si="2"/>
        <v/>
      </c>
      <c r="J109" s="212" t="s">
        <v>1950</v>
      </c>
      <c r="K109" s="212"/>
      <c r="L109" s="212"/>
      <c r="M109" s="212"/>
      <c r="N109" s="212"/>
      <c r="O109" s="212"/>
      <c r="P109" s="212"/>
      <c r="Q109" s="212"/>
      <c r="R109" s="90" t="s">
        <v>1924</v>
      </c>
      <c r="S109" s="88">
        <f ca="1">IF($J97=$A$145,0,ROUND((((1+S101+S102+S103)*(1+S104)*(1+S105)/(1-(S106+S107)))-1),4))</f>
        <v>0</v>
      </c>
      <c r="U109" s="217" t="e">
        <f ca="1">IF(OR($J$17=$A$146,$J$17=$A$145,AND(S109&gt;=X109,S109&lt;=Z109)),"OK","FORA DO INTERVALO")</f>
        <v>#N/A</v>
      </c>
      <c r="V109" s="217"/>
      <c r="W109" s="217"/>
      <c r="X109" s="88" t="e">
        <f>IF($J97=$A$145,0,VLOOKUP(CONCATENATE($J97,"-",$R109),$C$2:$G$136,3,FALSE))</f>
        <v>#N/A</v>
      </c>
      <c r="Y109" s="88" t="e">
        <f>IF($J97=$A$145,0,VLOOKUP(CONCATENATE($J97,"-",$R109),$C$2:$G$136,4,FALSE))</f>
        <v>#N/A</v>
      </c>
      <c r="Z109" s="88" t="e">
        <f>IF($J97=$A$145,0,VLOOKUP(CONCATENATE($J97,"-",$R109),$C$2:$G$136,5,FALSE))</f>
        <v>#N/A</v>
      </c>
    </row>
    <row r="110" spans="1:26" ht="15" customHeight="1">
      <c r="A110" s="78"/>
      <c r="B110" s="78"/>
      <c r="C110" s="78"/>
      <c r="D110" s="78"/>
      <c r="E110" s="78"/>
      <c r="F110" s="78"/>
      <c r="G110" s="78"/>
      <c r="I110" s="78" t="str">
        <f t="shared" ca="1" si="2"/>
        <v/>
      </c>
      <c r="J110" s="218" t="s">
        <v>1951</v>
      </c>
      <c r="K110" s="218"/>
      <c r="L110" s="218"/>
      <c r="M110" s="218"/>
      <c r="N110" s="218"/>
      <c r="O110" s="218"/>
      <c r="P110" s="218"/>
      <c r="Q110" s="218"/>
      <c r="R110" s="91" t="s">
        <v>1952</v>
      </c>
      <c r="S110" s="92">
        <f ca="1">IF($J97=$A$145,0,ROUND((((1+S101+S102+S103)*(1+S104)*(1+S105)/(1-(S106+S107+S108)))-1),4))</f>
        <v>0</v>
      </c>
    </row>
    <row r="111" spans="1:26" ht="25.5" customHeight="1">
      <c r="A111" s="78"/>
      <c r="B111" s="78"/>
      <c r="C111" s="78"/>
      <c r="D111" s="78"/>
      <c r="E111" s="78"/>
      <c r="F111" s="78"/>
      <c r="G111" s="78"/>
      <c r="I111" s="78" t="str">
        <f t="shared" ca="1" si="2"/>
        <v/>
      </c>
    </row>
    <row r="112" spans="1:26" ht="15.6">
      <c r="A112" s="78"/>
      <c r="B112" s="78"/>
      <c r="C112" s="78"/>
      <c r="D112" s="78"/>
      <c r="E112" s="78"/>
      <c r="F112" s="78"/>
      <c r="G112" s="78"/>
      <c r="I112" s="78" t="str">
        <f t="shared" ca="1" si="2"/>
        <v/>
      </c>
      <c r="J112" s="93" t="e">
        <f ca="1">IF(U109&lt;&gt;"ok","X","")</f>
        <v>#N/A</v>
      </c>
      <c r="K112" s="219" t="e">
        <f ca="1">IF(U109&lt;&gt;"ok","Anexo: Relatório Técnico Circunstanciado justificando a adoção do percentual de cada parcela do BDI.","")</f>
        <v>#N/A</v>
      </c>
      <c r="L112" s="219"/>
      <c r="M112" s="219"/>
      <c r="N112" s="219"/>
      <c r="O112" s="219"/>
      <c r="P112" s="219"/>
      <c r="Q112" s="219"/>
      <c r="R112" s="219"/>
      <c r="S112" s="219"/>
    </row>
    <row r="113" spans="1:19">
      <c r="A113" s="78"/>
      <c r="B113" s="78"/>
      <c r="C113" s="78"/>
      <c r="D113" s="78"/>
      <c r="E113" s="78"/>
      <c r="F113" s="78"/>
      <c r="G113" s="78"/>
      <c r="I113" s="78" t="str">
        <f t="shared" ca="1" si="2"/>
        <v/>
      </c>
    </row>
    <row r="114" spans="1:19">
      <c r="A114" s="78"/>
      <c r="B114" s="78"/>
      <c r="C114" s="78"/>
      <c r="D114" s="78"/>
      <c r="E114" s="78"/>
      <c r="F114" s="78"/>
      <c r="G114" s="78"/>
      <c r="I114" s="78" t="str">
        <f t="shared" ca="1" si="2"/>
        <v/>
      </c>
      <c r="J114" s="226" t="s">
        <v>1954</v>
      </c>
      <c r="K114" s="226"/>
      <c r="L114" s="226"/>
      <c r="M114" s="226"/>
      <c r="N114" s="226"/>
      <c r="O114" s="226"/>
      <c r="P114" s="226"/>
      <c r="Q114" s="226"/>
      <c r="R114" s="226"/>
      <c r="S114" s="226"/>
    </row>
    <row r="115" spans="1:19" ht="15.6">
      <c r="A115" s="78"/>
      <c r="B115" s="78"/>
      <c r="C115" s="78"/>
      <c r="D115" s="78"/>
      <c r="E115" s="78"/>
      <c r="F115" s="78"/>
      <c r="G115" s="78"/>
      <c r="I115" s="78" t="str">
        <f t="shared" ca="1" si="2"/>
        <v/>
      </c>
      <c r="J115" s="94"/>
      <c r="K115" s="94"/>
      <c r="L115" s="94"/>
      <c r="M115" s="227" t="s">
        <v>1955</v>
      </c>
      <c r="N115" s="228" t="str">
        <f>IF($J97=$A$146,"(1+K1+K2)*(1+K3)","(1+AC + S + R + G)*(1 + DF)*(1+L)")</f>
        <v>(1+AC + S + R + G)*(1 + DF)*(1+L)</v>
      </c>
      <c r="O115" s="228"/>
      <c r="P115" s="228"/>
      <c r="Q115" s="229" t="s">
        <v>1956</v>
      </c>
      <c r="R115" s="94"/>
      <c r="S115" s="94"/>
    </row>
    <row r="116" spans="1:19" ht="15.6">
      <c r="A116" s="78"/>
      <c r="B116" s="78"/>
      <c r="C116" s="78"/>
      <c r="D116" s="78"/>
      <c r="E116" s="78"/>
      <c r="F116" s="78"/>
      <c r="G116" s="78"/>
      <c r="I116" s="78" t="str">
        <f t="shared" ca="1" si="2"/>
        <v/>
      </c>
      <c r="J116" s="94"/>
      <c r="K116" s="94"/>
      <c r="L116" s="94"/>
      <c r="M116" s="227"/>
      <c r="N116" s="230" t="s">
        <v>1957</v>
      </c>
      <c r="O116" s="230"/>
      <c r="P116" s="230"/>
      <c r="Q116" s="229"/>
      <c r="R116" s="94"/>
      <c r="S116" s="94"/>
    </row>
    <row r="117" spans="1:19" ht="15" customHeight="1">
      <c r="A117" s="78"/>
      <c r="B117" s="78"/>
      <c r="C117" s="78"/>
      <c r="D117" s="78"/>
      <c r="E117" s="78"/>
      <c r="F117" s="78"/>
      <c r="G117" s="78"/>
      <c r="I117" s="78" t="str">
        <f t="shared" ca="1" si="2"/>
        <v/>
      </c>
      <c r="J117" s="94"/>
      <c r="K117" s="94"/>
      <c r="L117" s="94"/>
      <c r="M117" s="95"/>
      <c r="N117" s="97"/>
      <c r="O117" s="97"/>
      <c r="P117" s="97"/>
      <c r="Q117" s="96"/>
      <c r="R117" s="94"/>
      <c r="S117" s="94"/>
    </row>
    <row r="118" spans="1:19" ht="50.1" customHeight="1">
      <c r="A118" s="78"/>
      <c r="B118" s="78"/>
      <c r="C118" s="78"/>
      <c r="D118" s="78"/>
      <c r="E118" s="78"/>
      <c r="F118" s="78"/>
      <c r="G118" s="78"/>
      <c r="I118" s="78" t="str">
        <f t="shared" ca="1" si="2"/>
        <v/>
      </c>
      <c r="J118" s="22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5%.</v>
      </c>
      <c r="K118" s="220"/>
      <c r="L118" s="220"/>
      <c r="M118" s="220"/>
      <c r="N118" s="220"/>
      <c r="O118" s="220"/>
      <c r="P118" s="220"/>
      <c r="Q118" s="220"/>
      <c r="R118" s="220"/>
      <c r="S118" s="220"/>
    </row>
    <row r="119" spans="1:19">
      <c r="A119" s="78"/>
      <c r="B119" s="78"/>
      <c r="C119" s="78"/>
      <c r="D119" s="78"/>
      <c r="E119" s="78"/>
      <c r="F119" s="78"/>
      <c r="G119" s="78"/>
      <c r="I119" s="78" t="str">
        <f t="shared" ca="1" si="2"/>
        <v/>
      </c>
    </row>
    <row r="120" spans="1:19" ht="50.1" customHeight="1">
      <c r="A120" s="78"/>
      <c r="B120" s="78"/>
      <c r="C120" s="78"/>
      <c r="D120" s="78"/>
      <c r="E120" s="78"/>
      <c r="F120" s="78"/>
      <c r="G120" s="78"/>
      <c r="I120" s="78" t="str">
        <f t="shared" ca="1" si="2"/>
        <v/>
      </c>
      <c r="J120" s="220" t="e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#VALUE!</v>
      </c>
      <c r="K120" s="220"/>
      <c r="L120" s="220"/>
      <c r="M120" s="220"/>
      <c r="N120" s="220"/>
      <c r="O120" s="220"/>
      <c r="P120" s="220"/>
      <c r="Q120" s="220"/>
      <c r="R120" s="220"/>
      <c r="S120" s="220"/>
    </row>
    <row r="121" spans="1:19">
      <c r="A121" s="78"/>
      <c r="B121" s="78"/>
      <c r="C121" s="78"/>
      <c r="D121" s="78"/>
      <c r="E121" s="78"/>
      <c r="F121" s="78"/>
      <c r="G121" s="78"/>
      <c r="I121" s="78" t="str">
        <f t="shared" ca="1" si="2"/>
        <v/>
      </c>
    </row>
    <row r="122" spans="1:19">
      <c r="A122" s="78"/>
      <c r="B122" s="78"/>
      <c r="C122" s="78"/>
      <c r="D122" s="78"/>
      <c r="E122" s="78"/>
      <c r="F122" s="78"/>
      <c r="G122" s="78"/>
      <c r="I122" s="78" t="str">
        <f t="shared" ca="1" si="2"/>
        <v/>
      </c>
      <c r="J122" s="76" t="s">
        <v>1959</v>
      </c>
    </row>
    <row r="123" spans="1:19" ht="110.1" customHeight="1">
      <c r="A123" s="78"/>
      <c r="B123" s="78"/>
      <c r="C123" s="78"/>
      <c r="D123" s="78"/>
      <c r="E123" s="78"/>
      <c r="F123" s="78"/>
      <c r="G123" s="78"/>
      <c r="I123" s="78" t="str">
        <f t="shared" ca="1" si="2"/>
        <v/>
      </c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</row>
    <row r="124" spans="1:19">
      <c r="A124" s="78"/>
      <c r="B124" s="78"/>
      <c r="C124" s="78"/>
      <c r="D124" s="78"/>
      <c r="E124" s="78"/>
      <c r="F124" s="78"/>
      <c r="G124" s="78"/>
      <c r="I124" s="78" t="str">
        <f t="shared" ca="1" si="2"/>
        <v/>
      </c>
    </row>
    <row r="125" spans="1:19">
      <c r="A125" s="78"/>
      <c r="B125" s="78"/>
      <c r="C125" s="78"/>
      <c r="D125" s="78"/>
      <c r="E125" s="78"/>
      <c r="F125" s="78"/>
      <c r="G125" s="78"/>
      <c r="I125" s="78" t="str">
        <f t="shared" ca="1" si="2"/>
        <v/>
      </c>
      <c r="J125" s="222" t="str">
        <f>Import.Município</f>
        <v>São João Das Missões - MG</v>
      </c>
      <c r="K125" s="222"/>
      <c r="L125" s="222"/>
      <c r="M125" s="222"/>
      <c r="P125" s="223">
        <f>[1]DADOS!$F$25</f>
        <v>45691</v>
      </c>
      <c r="Q125" s="223"/>
      <c r="R125" s="223"/>
      <c r="S125" s="223"/>
    </row>
    <row r="126" spans="1:19">
      <c r="A126" s="78"/>
      <c r="B126" s="78"/>
      <c r="C126" s="78"/>
      <c r="D126" s="78"/>
      <c r="E126" s="78"/>
      <c r="F126" s="78"/>
      <c r="G126" s="78"/>
      <c r="I126" s="78" t="str">
        <f t="shared" ca="1" si="2"/>
        <v/>
      </c>
      <c r="J126" s="224" t="s">
        <v>1963</v>
      </c>
      <c r="K126" s="224"/>
      <c r="L126" s="224"/>
      <c r="M126" s="224"/>
      <c r="O126" s="99"/>
      <c r="P126" s="100" t="s">
        <v>1964</v>
      </c>
      <c r="Q126" s="101"/>
      <c r="R126" s="101"/>
      <c r="S126" s="101"/>
    </row>
    <row r="127" spans="1:19" ht="30" customHeight="1">
      <c r="A127" s="78"/>
      <c r="B127" s="78"/>
      <c r="C127" s="78"/>
      <c r="D127" s="78"/>
      <c r="E127" s="78"/>
      <c r="F127" s="78"/>
      <c r="G127" s="78"/>
      <c r="I127" s="78" t="str">
        <f t="shared" ca="1" si="2"/>
        <v/>
      </c>
    </row>
    <row r="128" spans="1:19">
      <c r="A128" s="78"/>
      <c r="B128" s="78"/>
      <c r="C128" s="78"/>
      <c r="D128" s="78"/>
      <c r="E128" s="78"/>
      <c r="F128" s="78"/>
      <c r="G128" s="78"/>
      <c r="I128" s="78" t="str">
        <f t="shared" ca="1" si="2"/>
        <v/>
      </c>
      <c r="J128" s="225"/>
      <c r="K128" s="225"/>
      <c r="L128" s="225"/>
      <c r="M128" s="225"/>
      <c r="N128" s="102"/>
    </row>
    <row r="129" spans="1:14">
      <c r="A129" s="78"/>
      <c r="B129" s="78"/>
      <c r="C129" s="78"/>
      <c r="D129" s="78"/>
      <c r="E129" s="78"/>
      <c r="F129" s="78"/>
      <c r="G129" s="78"/>
      <c r="I129" s="78" t="str">
        <f t="shared" ca="1" si="2"/>
        <v/>
      </c>
      <c r="J129" s="231" t="s">
        <v>1966</v>
      </c>
      <c r="K129" s="231"/>
      <c r="L129" s="231"/>
      <c r="M129" s="231"/>
    </row>
    <row r="130" spans="1:14">
      <c r="A130" s="78"/>
      <c r="B130" s="78"/>
      <c r="C130" s="78"/>
      <c r="D130" s="78"/>
      <c r="E130" s="78"/>
      <c r="F130" s="78"/>
      <c r="G130" s="78"/>
      <c r="I130" s="78" t="str">
        <f t="shared" ca="1" si="2"/>
        <v/>
      </c>
      <c r="J130" s="103" t="s">
        <v>1967</v>
      </c>
      <c r="K130" s="104" t="str">
        <f t="array" ref="K130:K132">Import.RespOrçamento</f>
        <v>Gerrard Tayon Ferreira Lopo</v>
      </c>
      <c r="L130" s="105"/>
      <c r="M130" s="105"/>
      <c r="N130" s="102"/>
    </row>
    <row r="131" spans="1:14">
      <c r="A131" s="78"/>
      <c r="B131" s="78"/>
      <c r="C131" s="78"/>
      <c r="D131" s="78"/>
      <c r="E131" s="78"/>
      <c r="F131" s="78"/>
      <c r="G131" s="78"/>
      <c r="I131" s="78" t="str">
        <f t="shared" ca="1" si="2"/>
        <v/>
      </c>
      <c r="J131" s="103" t="s">
        <v>1968</v>
      </c>
      <c r="K131" s="104" t="str">
        <v>289963 MG</v>
      </c>
      <c r="L131" s="105"/>
      <c r="M131" s="105"/>
      <c r="N131" s="102"/>
    </row>
    <row r="132" spans="1:14">
      <c r="A132" s="78"/>
      <c r="B132" s="78"/>
      <c r="C132" s="78"/>
      <c r="D132" s="78"/>
      <c r="E132" s="78"/>
      <c r="F132" s="78"/>
      <c r="G132" s="78"/>
      <c r="I132" s="78" t="str">
        <f t="shared" ca="1" si="2"/>
        <v/>
      </c>
      <c r="J132" s="103" t="s">
        <v>1969</v>
      </c>
      <c r="K132" s="104">
        <v>0</v>
      </c>
      <c r="L132" s="105"/>
      <c r="M132" s="105"/>
      <c r="N132" s="102"/>
    </row>
    <row r="133" spans="1:14">
      <c r="A133" s="78"/>
      <c r="B133" s="78"/>
      <c r="C133" s="78"/>
      <c r="D133" s="78"/>
      <c r="E133" s="78"/>
      <c r="F133" s="78"/>
      <c r="G133" s="78"/>
    </row>
    <row r="134" spans="1:14">
      <c r="A134" s="78"/>
      <c r="B134" s="78"/>
      <c r="C134" s="78"/>
      <c r="D134" s="78"/>
      <c r="E134" s="78"/>
      <c r="F134" s="78"/>
      <c r="G134" s="78"/>
    </row>
    <row r="135" spans="1:14">
      <c r="A135" s="78"/>
      <c r="B135" s="78"/>
      <c r="C135" s="78"/>
      <c r="D135" s="78"/>
      <c r="E135" s="78"/>
      <c r="F135" s="78"/>
      <c r="G135" s="78"/>
    </row>
    <row r="136" spans="1:14">
      <c r="A136" s="78"/>
      <c r="B136" s="78"/>
      <c r="C136" s="78"/>
      <c r="D136" s="78"/>
      <c r="E136" s="78"/>
      <c r="F136" s="78"/>
      <c r="G136" s="78"/>
    </row>
    <row r="137" spans="1:14">
      <c r="A137" s="78"/>
      <c r="B137" s="78"/>
      <c r="C137" s="78"/>
      <c r="D137" s="78"/>
      <c r="E137" s="78"/>
      <c r="F137" s="78"/>
      <c r="G137" s="78"/>
    </row>
    <row r="138" spans="1:14">
      <c r="A138" s="76" t="s">
        <v>1971</v>
      </c>
    </row>
    <row r="139" spans="1:14">
      <c r="A139" s="76" t="s">
        <v>1913</v>
      </c>
    </row>
    <row r="140" spans="1:14">
      <c r="A140" s="76" t="s">
        <v>1926</v>
      </c>
    </row>
    <row r="141" spans="1:14">
      <c r="A141" s="76" t="s">
        <v>1931</v>
      </c>
    </row>
    <row r="142" spans="1:14">
      <c r="A142" s="76" t="s">
        <v>1941</v>
      </c>
    </row>
    <row r="143" spans="1:14">
      <c r="A143" s="76" t="s">
        <v>1943</v>
      </c>
    </row>
    <row r="144" spans="1:14">
      <c r="A144" s="76" t="s">
        <v>1953</v>
      </c>
    </row>
    <row r="145" spans="1:1">
      <c r="A145" s="76" t="s">
        <v>1958</v>
      </c>
    </row>
    <row r="146" spans="1:1">
      <c r="A146" s="76" t="s">
        <v>1960</v>
      </c>
    </row>
  </sheetData>
  <sheetProtection algorithmName="SHA-512" hashValue="KMNwpBBG6J+u9Qp6xRxYYcUBxU0UcvfvF9Hv2H6bR2Xyq/cpGhInf+dYgqe/7BAs3CJ+pzFgqUehauwI1A/kfw==" saltValue="0giPuxVGRKIBmbbTsKjy0Q==" spinCount="100000" sheet="1" objects="1" scenarios="1" autoFilter="0"/>
  <autoFilter ref="I11:I132" xr:uid="{00000000-0009-0000-0000-000003000000}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J114:S114"/>
    <mergeCell ref="M115:M116"/>
    <mergeCell ref="N115:P115"/>
    <mergeCell ref="Q115:Q116"/>
    <mergeCell ref="N116:P116"/>
    <mergeCell ref="J118:S118"/>
    <mergeCell ref="J108:Q108"/>
    <mergeCell ref="U108:W108"/>
    <mergeCell ref="J109:Q109"/>
    <mergeCell ref="U109:W109"/>
    <mergeCell ref="J110:Q110"/>
    <mergeCell ref="K112:S112"/>
    <mergeCell ref="J105:Q105"/>
    <mergeCell ref="U105:W105"/>
    <mergeCell ref="J106:Q106"/>
    <mergeCell ref="U106:W106"/>
    <mergeCell ref="J107:Q107"/>
    <mergeCell ref="U107:W107"/>
    <mergeCell ref="J102:Q102"/>
    <mergeCell ref="U102:W102"/>
    <mergeCell ref="J103:Q103"/>
    <mergeCell ref="U103:W103"/>
    <mergeCell ref="J104:Q104"/>
    <mergeCell ref="U104:W104"/>
    <mergeCell ref="U99:W100"/>
    <mergeCell ref="X99:X100"/>
    <mergeCell ref="Y99:Y100"/>
    <mergeCell ref="Z99:Z100"/>
    <mergeCell ref="J101:Q101"/>
    <mergeCell ref="U101:W101"/>
    <mergeCell ref="J89:M89"/>
    <mergeCell ref="J94:S94"/>
    <mergeCell ref="J96:S96"/>
    <mergeCell ref="J97:S97"/>
    <mergeCell ref="J99:Q100"/>
    <mergeCell ref="R99:R100"/>
    <mergeCell ref="S99:S100"/>
    <mergeCell ref="J80:S80"/>
    <mergeCell ref="J83:S83"/>
    <mergeCell ref="J85:M85"/>
    <mergeCell ref="P85:S85"/>
    <mergeCell ref="J86:M86"/>
    <mergeCell ref="J88:M88"/>
    <mergeCell ref="J74:S74"/>
    <mergeCell ref="M75:M76"/>
    <mergeCell ref="N75:P75"/>
    <mergeCell ref="Q75:Q76"/>
    <mergeCell ref="N76:P76"/>
    <mergeCell ref="J78:S78"/>
    <mergeCell ref="J68:Q68"/>
    <mergeCell ref="U68:W68"/>
    <mergeCell ref="J69:Q69"/>
    <mergeCell ref="U69:W69"/>
    <mergeCell ref="J70:Q70"/>
    <mergeCell ref="K72:S72"/>
    <mergeCell ref="J65:Q65"/>
    <mergeCell ref="U65:W65"/>
    <mergeCell ref="J66:Q66"/>
    <mergeCell ref="U66:W66"/>
    <mergeCell ref="J67:Q67"/>
    <mergeCell ref="U67:W67"/>
    <mergeCell ref="J62:Q62"/>
    <mergeCell ref="U62:W62"/>
    <mergeCell ref="J63:Q63"/>
    <mergeCell ref="U63:W63"/>
    <mergeCell ref="J64:Q64"/>
    <mergeCell ref="U64:W64"/>
    <mergeCell ref="U59:W60"/>
    <mergeCell ref="X59:X60"/>
    <mergeCell ref="Y59:Y60"/>
    <mergeCell ref="Z59:Z60"/>
    <mergeCell ref="J61:Q61"/>
    <mergeCell ref="U61:W61"/>
    <mergeCell ref="J49:M49"/>
    <mergeCell ref="J54:S54"/>
    <mergeCell ref="J56:S56"/>
    <mergeCell ref="J57:S57"/>
    <mergeCell ref="J59:Q60"/>
    <mergeCell ref="R59:R60"/>
    <mergeCell ref="S59:S60"/>
    <mergeCell ref="J40:S40"/>
    <mergeCell ref="J43:S43"/>
    <mergeCell ref="J45:M45"/>
    <mergeCell ref="P45:S45"/>
    <mergeCell ref="J46:M46"/>
    <mergeCell ref="J48:M48"/>
    <mergeCell ref="J34:S34"/>
    <mergeCell ref="M35:M36"/>
    <mergeCell ref="N35:P35"/>
    <mergeCell ref="Q35:Q36"/>
    <mergeCell ref="N36:P36"/>
    <mergeCell ref="J38:S38"/>
    <mergeCell ref="J28:Q28"/>
    <mergeCell ref="U28:W28"/>
    <mergeCell ref="J29:Q29"/>
    <mergeCell ref="U29:W29"/>
    <mergeCell ref="J30:Q30"/>
    <mergeCell ref="K32:S32"/>
    <mergeCell ref="J25:Q25"/>
    <mergeCell ref="U25:W25"/>
    <mergeCell ref="J26:Q26"/>
    <mergeCell ref="U26:W26"/>
    <mergeCell ref="J27:Q27"/>
    <mergeCell ref="U27:W27"/>
    <mergeCell ref="J22:Q22"/>
    <mergeCell ref="U22:W22"/>
    <mergeCell ref="J23:Q23"/>
    <mergeCell ref="U23:W23"/>
    <mergeCell ref="J24:Q24"/>
    <mergeCell ref="U24:W24"/>
    <mergeCell ref="U19:W20"/>
    <mergeCell ref="X19:X20"/>
    <mergeCell ref="Y19:Y20"/>
    <mergeCell ref="Z19:Z20"/>
    <mergeCell ref="J21:Q21"/>
    <mergeCell ref="U21:W21"/>
    <mergeCell ref="J14:S14"/>
    <mergeCell ref="J16:S16"/>
    <mergeCell ref="J17:S17"/>
    <mergeCell ref="J19:Q20"/>
    <mergeCell ref="R19:R20"/>
    <mergeCell ref="S19:S20"/>
    <mergeCell ref="I6:I10"/>
    <mergeCell ref="J7:S7"/>
    <mergeCell ref="J8:S8"/>
    <mergeCell ref="J10:Q10"/>
    <mergeCell ref="R10:S10"/>
    <mergeCell ref="J11:Q11"/>
    <mergeCell ref="R11:S11"/>
    <mergeCell ref="R1:S1"/>
    <mergeCell ref="R2:S2"/>
    <mergeCell ref="J4:K4"/>
    <mergeCell ref="L4:M4"/>
    <mergeCell ref="N4:S4"/>
    <mergeCell ref="J5:K5"/>
    <mergeCell ref="L5:M5"/>
    <mergeCell ref="N5:S5"/>
  </mergeCells>
  <conditionalFormatting sqref="J30:S30 J70:S70 J110:S110">
    <cfRule type="expression" dxfId="3" priority="1" stopIfTrue="1">
      <formula>DESONERACAO="não"</formula>
    </cfRule>
  </conditionalFormatting>
  <conditionalFormatting sqref="U29:W29 U69:W69 U109:W109">
    <cfRule type="expression" dxfId="2" priority="2" stopIfTrue="1">
      <formula>AND(U29&lt;&gt;"OK",U29&lt;&gt;"-",U29&lt;&gt;"")</formula>
    </cfRule>
    <cfRule type="cellIs" dxfId="1" priority="3" stopIfTrue="1" operator="equal">
      <formula>"OK"</formula>
    </cfRule>
  </conditionalFormatting>
  <conditionalFormatting sqref="S29 S69 S109">
    <cfRule type="expression" dxfId="0" priority="4" stopIfTrue="1">
      <formula>DESONERACAO="não"</formula>
    </cfRule>
  </conditionalFormatting>
  <dataValidations disablePrompts="1" count="6">
    <dataValidation type="decimal" allowBlank="1" showErrorMessage="1" errorTitle="Erro de valores" error="Digite um valor entre 0% e 100%" sqref="S21:S26 S61:S66 S101:S106" xr:uid="{E3AEA6A9-55F2-4BCD-A3A0-66B5CAB3FD65}">
      <formula1>0</formula1>
      <formula2>1</formula2>
    </dataValidation>
    <dataValidation type="decimal" allowBlank="1" showErrorMessage="1" errorTitle="Erro de valores" error="Digite um valor maior do que 0." sqref="S27 S67 S107" xr:uid="{BFCBAFE5-A190-4DE4-AFAE-3006D223FE8F}">
      <formula1>0</formula1>
      <formula2>1</formula2>
    </dataValidation>
    <dataValidation operator="greaterThanOrEqual" allowBlank="1" showErrorMessage="1" errorTitle="Erro de valores" error="Digite um valor igual a 0% ou 2%." sqref="S28 S68 S108" xr:uid="{C8DBDD57-F720-4BB0-BD99-B7B38CBF4041}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 xr:uid="{D0B4F840-D774-42CC-ABF2-5DC43D274C82}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 xr:uid="{A594930B-37DE-4FC4-8AD8-1922C8E1CB7D}">
      <formula1>0</formula1>
      <formula2>1</formula2>
    </dataValidation>
    <dataValidation type="list" allowBlank="1" showErrorMessage="1" sqref="J17:S17 J57:S57 J97:S97" xr:uid="{65FF6644-8950-49F1-8DE8-35E95D803987}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3" firstPageNumber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orçamentaria</vt:lpstr>
      <vt:lpstr>CRONO CAIXA</vt:lpstr>
      <vt:lpstr>BDI</vt:lpstr>
      <vt:lpstr>BDI!Area_de_impressao</vt:lpstr>
      <vt:lpstr>'CRONO CAIXA'!Area_de_impressao</vt:lpstr>
      <vt:lpstr>'planilha orçamentaria'!Area_de_impressao</vt:lpstr>
      <vt:lpstr>BDI!Titulos_de_impressao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2024-05-28T18:16:26Z</dcterms:created>
  <dcterms:modified xsi:type="dcterms:W3CDTF">2025-04-08T18:04:33Z</dcterms:modified>
</cp:coreProperties>
</file>